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showInkAnnotation="0" defaultThemeVersion="124226"/>
  <mc:AlternateContent xmlns:mc="http://schemas.openxmlformats.org/markup-compatibility/2006">
    <mc:Choice Requires="x15">
      <x15ac:absPath xmlns:x15ac="http://schemas.microsoft.com/office/spreadsheetml/2010/11/ac" url="C:\Users\hahnme_a\PycharmProjects\premise\premise\data\metals\"/>
    </mc:Choice>
  </mc:AlternateContent>
  <xr:revisionPtr revIDLastSave="0" documentId="13_ncr:1_{AA047848-1F2D-4DCB-AD96-2D0732A708D5}" xr6:coauthVersionLast="47" xr6:coauthVersionMax="47" xr10:uidLastSave="{00000000-0000-0000-0000-000000000000}"/>
  <bookViews>
    <workbookView xWindow="-120" yWindow="-120" windowWidth="38640" windowHeight="21240" xr2:uid="{00000000-000D-0000-FFFF-FFFF00000000}"/>
  </bookViews>
  <sheets>
    <sheet name="Shares_mapping" sheetId="1" r:id="rId1"/>
    <sheet name="Checking" sheetId="11" r:id="rId2"/>
    <sheet name="Summary" sheetId="8" r:id="rId3"/>
    <sheet name="Graphite" sheetId="13" r:id="rId4"/>
    <sheet name="Cobalt" sheetId="12" r:id="rId5"/>
    <sheet name="BGS" sheetId="4" r:id="rId6"/>
    <sheet name="Copper" sheetId="2" r:id="rId7"/>
    <sheet name="Molybdenum" sheetId="3" r:id="rId8"/>
    <sheet name="Rhenium" sheetId="5" r:id="rId9"/>
    <sheet name="Pig iron" sheetId="7" r:id="rId10"/>
    <sheet name="Iron, ore" sheetId="6" r:id="rId11"/>
    <sheet name="REE Refining"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26" i="1" l="1"/>
  <c r="E2526" i="1"/>
  <c r="F2526" i="1"/>
  <c r="G2526" i="1"/>
  <c r="H2526" i="1"/>
  <c r="I2526" i="1"/>
  <c r="J2526" i="1"/>
  <c r="K2526" i="1"/>
  <c r="L2526" i="1"/>
  <c r="M2526" i="1"/>
  <c r="D2521" i="1"/>
  <c r="E2521" i="1"/>
  <c r="F2521" i="1"/>
  <c r="G2521" i="1"/>
  <c r="H2521" i="1"/>
  <c r="I2521" i="1"/>
  <c r="J2521" i="1"/>
  <c r="K2521" i="1"/>
  <c r="L2521" i="1"/>
  <c r="M2521" i="1"/>
  <c r="D2514" i="1"/>
  <c r="E2514" i="1"/>
  <c r="F2514" i="1"/>
  <c r="G2514" i="1"/>
  <c r="H2514" i="1"/>
  <c r="I2514" i="1"/>
  <c r="J2514" i="1"/>
  <c r="K2514" i="1"/>
  <c r="L2514" i="1"/>
  <c r="M2514" i="1"/>
  <c r="D2511" i="1"/>
  <c r="E2511" i="1"/>
  <c r="F2511" i="1"/>
  <c r="G2511" i="1"/>
  <c r="H2511" i="1"/>
  <c r="I2511" i="1"/>
  <c r="J2511" i="1"/>
  <c r="K2511" i="1"/>
  <c r="L2511" i="1"/>
  <c r="M2511" i="1"/>
  <c r="D2508" i="1"/>
  <c r="E2508" i="1"/>
  <c r="F2508" i="1"/>
  <c r="G2508" i="1"/>
  <c r="H2508" i="1"/>
  <c r="I2508" i="1"/>
  <c r="J2508" i="1"/>
  <c r="K2508" i="1"/>
  <c r="L2508" i="1"/>
  <c r="M2508" i="1"/>
  <c r="D2506" i="1"/>
  <c r="E2506" i="1"/>
  <c r="F2506" i="1"/>
  <c r="G2506" i="1"/>
  <c r="H2506" i="1"/>
  <c r="I2506" i="1"/>
  <c r="J2506" i="1"/>
  <c r="K2506" i="1"/>
  <c r="L2506" i="1"/>
  <c r="M2506" i="1"/>
  <c r="C2526" i="1"/>
  <c r="C2521" i="1"/>
  <c r="C2514" i="1"/>
  <c r="C2511" i="1"/>
  <c r="C2508" i="1"/>
  <c r="C2506" i="1"/>
  <c r="M2152" i="1"/>
  <c r="L2152" i="1"/>
  <c r="K2152" i="1"/>
  <c r="J2152" i="1"/>
  <c r="I2152" i="1"/>
  <c r="H2152" i="1"/>
  <c r="G2152" i="1"/>
  <c r="F2152" i="1"/>
  <c r="E2152" i="1"/>
  <c r="D2152" i="1"/>
  <c r="C2152" i="1"/>
  <c r="M2151" i="1"/>
  <c r="L2151" i="1"/>
  <c r="K2151" i="1"/>
  <c r="J2151" i="1"/>
  <c r="I2151" i="1"/>
  <c r="H2151" i="1"/>
  <c r="G2151" i="1"/>
  <c r="F2151" i="1"/>
  <c r="E2151" i="1"/>
  <c r="D2151" i="1"/>
  <c r="C2151" i="1"/>
  <c r="M2150" i="1"/>
  <c r="L2150" i="1"/>
  <c r="K2150" i="1"/>
  <c r="J2150" i="1"/>
  <c r="I2150" i="1"/>
  <c r="H2150" i="1"/>
  <c r="G2150" i="1"/>
  <c r="F2150" i="1"/>
  <c r="E2150" i="1"/>
  <c r="D2150" i="1"/>
  <c r="C2150" i="1"/>
  <c r="M2135" i="1"/>
  <c r="M2134" i="1"/>
  <c r="M2133" i="1"/>
  <c r="L2135" i="1"/>
  <c r="L2134" i="1"/>
  <c r="L2133" i="1"/>
  <c r="K2135" i="1"/>
  <c r="K2134" i="1"/>
  <c r="K2133" i="1"/>
  <c r="J2135" i="1"/>
  <c r="J2134" i="1"/>
  <c r="J2133" i="1"/>
  <c r="I2135" i="1"/>
  <c r="I2134" i="1"/>
  <c r="I2133" i="1"/>
  <c r="H2135" i="1"/>
  <c r="H2134" i="1"/>
  <c r="H2133" i="1"/>
  <c r="G2135" i="1"/>
  <c r="G2134" i="1"/>
  <c r="G2133" i="1"/>
  <c r="F2135" i="1"/>
  <c r="F2134" i="1"/>
  <c r="F2133" i="1"/>
  <c r="E2135" i="1"/>
  <c r="E2134" i="1"/>
  <c r="E2133" i="1"/>
  <c r="D2135" i="1"/>
  <c r="D2134" i="1"/>
  <c r="D2133" i="1"/>
  <c r="C2135" i="1"/>
  <c r="C2134" i="1"/>
  <c r="C2133" i="1"/>
  <c r="M3349" i="1"/>
  <c r="M3348" i="1"/>
  <c r="M3347" i="1"/>
  <c r="M3346" i="1"/>
  <c r="M3345" i="1"/>
  <c r="M3344" i="1"/>
  <c r="M3343" i="1"/>
  <c r="M3342" i="1"/>
  <c r="M3341" i="1"/>
  <c r="M3333" i="1"/>
  <c r="M3332" i="1"/>
  <c r="M3331" i="1"/>
  <c r="M3330" i="1"/>
  <c r="M3329" i="1"/>
  <c r="M3328" i="1"/>
  <c r="M3327" i="1"/>
  <c r="M3326" i="1"/>
  <c r="M3325" i="1"/>
  <c r="M3324" i="1"/>
  <c r="M3323" i="1"/>
  <c r="M3322" i="1"/>
  <c r="M3321" i="1"/>
  <c r="M3320" i="1"/>
  <c r="M3319" i="1"/>
  <c r="M3318" i="1"/>
  <c r="M3317" i="1"/>
  <c r="M3316" i="1"/>
  <c r="M3315" i="1"/>
  <c r="M3314" i="1"/>
  <c r="M3313" i="1"/>
  <c r="M3312" i="1"/>
  <c r="M3311" i="1"/>
  <c r="M3310" i="1"/>
  <c r="M3309" i="1"/>
  <c r="M3308" i="1"/>
  <c r="M3307" i="1"/>
  <c r="M3306" i="1"/>
  <c r="M3305" i="1"/>
  <c r="M3304" i="1"/>
  <c r="M3303" i="1"/>
  <c r="M3302" i="1"/>
  <c r="M3301" i="1"/>
  <c r="M3300" i="1"/>
  <c r="M3276" i="1"/>
  <c r="M3275" i="1"/>
  <c r="M3274" i="1"/>
  <c r="M3273" i="1"/>
  <c r="M3272" i="1"/>
  <c r="M3271" i="1"/>
  <c r="M3270" i="1"/>
  <c r="M3269" i="1"/>
  <c r="M3268" i="1"/>
  <c r="M3267" i="1"/>
  <c r="M3266" i="1"/>
  <c r="M3265" i="1"/>
  <c r="M3264" i="1"/>
  <c r="M3263" i="1"/>
  <c r="M3262" i="1"/>
  <c r="M3249" i="1"/>
  <c r="M3248" i="1"/>
  <c r="M3247" i="1"/>
  <c r="M3246" i="1"/>
  <c r="M3245" i="1"/>
  <c r="M3244" i="1"/>
  <c r="M3243" i="1"/>
  <c r="M3242" i="1"/>
  <c r="M3241" i="1"/>
  <c r="M3240" i="1"/>
  <c r="M3239" i="1"/>
  <c r="M3238" i="1"/>
  <c r="M3237" i="1"/>
  <c r="M3236" i="1"/>
  <c r="M3235" i="1"/>
  <c r="M3234" i="1"/>
  <c r="M3233" i="1"/>
  <c r="M3232" i="1"/>
  <c r="M3231" i="1"/>
  <c r="M3230" i="1"/>
  <c r="M3229" i="1"/>
  <c r="M3228" i="1"/>
  <c r="M3227" i="1"/>
  <c r="M3226" i="1"/>
  <c r="M3225" i="1"/>
  <c r="M3224" i="1"/>
  <c r="M3223" i="1"/>
  <c r="M3222" i="1"/>
  <c r="M3221" i="1"/>
  <c r="M3220" i="1"/>
  <c r="M3219" i="1"/>
  <c r="M3218" i="1"/>
  <c r="M3217" i="1"/>
  <c r="M3216" i="1"/>
  <c r="M3215" i="1"/>
  <c r="M3214" i="1"/>
  <c r="M3213" i="1"/>
  <c r="M3212" i="1"/>
  <c r="M3211" i="1"/>
  <c r="M3210" i="1"/>
  <c r="M3209" i="1"/>
  <c r="M3208" i="1"/>
  <c r="M3029" i="1"/>
  <c r="M3028" i="1"/>
  <c r="M3027" i="1"/>
  <c r="M3026" i="1"/>
  <c r="M3025" i="1"/>
  <c r="M3024" i="1"/>
  <c r="M3023" i="1"/>
  <c r="M3022" i="1"/>
  <c r="M3021" i="1"/>
  <c r="M3020" i="1"/>
  <c r="M3019" i="1"/>
  <c r="M3018" i="1"/>
  <c r="M3017" i="1"/>
  <c r="M3016" i="1"/>
  <c r="M3015" i="1"/>
  <c r="M3014" i="1"/>
  <c r="M3013" i="1"/>
  <c r="M3012" i="1"/>
  <c r="M3011" i="1"/>
  <c r="M3010" i="1"/>
  <c r="M3009" i="1"/>
  <c r="M3008" i="1"/>
  <c r="M3007" i="1"/>
  <c r="M3006" i="1"/>
  <c r="M3005" i="1"/>
  <c r="M3004" i="1"/>
  <c r="M3003" i="1"/>
  <c r="M3002" i="1"/>
  <c r="M3001" i="1"/>
  <c r="M3000" i="1"/>
  <c r="M2999" i="1"/>
  <c r="M2998" i="1"/>
  <c r="M2996" i="1"/>
  <c r="M2995" i="1"/>
  <c r="M2994" i="1"/>
  <c r="M2993" i="1"/>
  <c r="M2992" i="1"/>
  <c r="M2991" i="1"/>
  <c r="M2990" i="1"/>
  <c r="M2989" i="1"/>
  <c r="M2988" i="1"/>
  <c r="M2987" i="1"/>
  <c r="M2986" i="1"/>
  <c r="M2985" i="1"/>
  <c r="M2984" i="1"/>
  <c r="M2983" i="1"/>
  <c r="M2982" i="1"/>
  <c r="M2981" i="1"/>
  <c r="M2980" i="1"/>
  <c r="M2979" i="1"/>
  <c r="M2978" i="1"/>
  <c r="M2977" i="1"/>
  <c r="M2976" i="1"/>
  <c r="M2975" i="1"/>
  <c r="M2974" i="1"/>
  <c r="M2973" i="1"/>
  <c r="M2972" i="1"/>
  <c r="M2971" i="1"/>
  <c r="M2970" i="1"/>
  <c r="M2969" i="1"/>
  <c r="M2968" i="1"/>
  <c r="M2967" i="1"/>
  <c r="M2966" i="1"/>
  <c r="M2965" i="1"/>
  <c r="M2964" i="1"/>
  <c r="M2963" i="1"/>
  <c r="M2962" i="1"/>
  <c r="M2961" i="1"/>
  <c r="M2960" i="1"/>
  <c r="M2959" i="1"/>
  <c r="M2958" i="1"/>
  <c r="M2957" i="1"/>
  <c r="M2956" i="1"/>
  <c r="M2955" i="1"/>
  <c r="M2954" i="1"/>
  <c r="M2953" i="1"/>
  <c r="M2952" i="1"/>
  <c r="M2951" i="1"/>
  <c r="M2950" i="1"/>
  <c r="M2949" i="1"/>
  <c r="M2948" i="1"/>
  <c r="M2947" i="1"/>
  <c r="M2946" i="1"/>
  <c r="M2945" i="1"/>
  <c r="M2943" i="1"/>
  <c r="M2942" i="1"/>
  <c r="M2941" i="1"/>
  <c r="M2940" i="1"/>
  <c r="M2939" i="1"/>
  <c r="M2938" i="1"/>
  <c r="M2937" i="1"/>
  <c r="M2936" i="1"/>
  <c r="M2935" i="1"/>
  <c r="M2934" i="1"/>
  <c r="M2933" i="1"/>
  <c r="M2932" i="1"/>
  <c r="M2931" i="1"/>
  <c r="M2930" i="1"/>
  <c r="M2929" i="1"/>
  <c r="M2928" i="1"/>
  <c r="M2927" i="1"/>
  <c r="M2926" i="1"/>
  <c r="M2925" i="1"/>
  <c r="M2924" i="1"/>
  <c r="M2923" i="1"/>
  <c r="M2922" i="1"/>
  <c r="M2921" i="1"/>
  <c r="M2920" i="1"/>
  <c r="M2919" i="1"/>
  <c r="M2918" i="1"/>
  <c r="M2917" i="1"/>
  <c r="M2916" i="1"/>
  <c r="M2915" i="1"/>
  <c r="M2914" i="1"/>
  <c r="M2913" i="1"/>
  <c r="M2912" i="1"/>
  <c r="M2911" i="1"/>
  <c r="M2910" i="1"/>
  <c r="M2909" i="1"/>
  <c r="M2908" i="1"/>
  <c r="M2907" i="1"/>
  <c r="M2906" i="1"/>
  <c r="M2905" i="1"/>
  <c r="M2904" i="1"/>
  <c r="M2903" i="1"/>
  <c r="M2902" i="1"/>
  <c r="M2901" i="1"/>
  <c r="M2900" i="1"/>
  <c r="M2899" i="1"/>
  <c r="M2898" i="1"/>
  <c r="M2897" i="1"/>
  <c r="M2896" i="1"/>
  <c r="M2895" i="1"/>
  <c r="M2894" i="1"/>
  <c r="M2893" i="1"/>
  <c r="M2892" i="1"/>
  <c r="M2891" i="1"/>
  <c r="M2890" i="1"/>
  <c r="M2889" i="1"/>
  <c r="M2888" i="1"/>
  <c r="M2887" i="1"/>
  <c r="M2886" i="1"/>
  <c r="M2885" i="1"/>
  <c r="M2884" i="1"/>
  <c r="M2883" i="1"/>
  <c r="M2882" i="1"/>
  <c r="M2881" i="1"/>
  <c r="M2880" i="1"/>
  <c r="M2879" i="1"/>
  <c r="M2878" i="1"/>
  <c r="M2877" i="1"/>
  <c r="M2876" i="1"/>
  <c r="M2875" i="1"/>
  <c r="M2874" i="1"/>
  <c r="M2873" i="1"/>
  <c r="M2872" i="1"/>
  <c r="M2871" i="1"/>
  <c r="M2870" i="1"/>
  <c r="M2869" i="1"/>
  <c r="M2868" i="1"/>
  <c r="M2867" i="1"/>
  <c r="M2866" i="1"/>
  <c r="M2865" i="1"/>
  <c r="M2864" i="1"/>
  <c r="M2863" i="1"/>
  <c r="M2862" i="1"/>
  <c r="M2861" i="1"/>
  <c r="M2860" i="1"/>
  <c r="M2859" i="1"/>
  <c r="M2858" i="1"/>
  <c r="M2857" i="1"/>
  <c r="M2856" i="1"/>
  <c r="M2855" i="1"/>
  <c r="M2854" i="1"/>
  <c r="M2853" i="1"/>
  <c r="M2852" i="1"/>
  <c r="M2851" i="1"/>
  <c r="M2850" i="1"/>
  <c r="M2849" i="1"/>
  <c r="M2848" i="1"/>
  <c r="M2847" i="1"/>
  <c r="M2846" i="1"/>
  <c r="M2845" i="1"/>
  <c r="M2844" i="1"/>
  <c r="M2843" i="1"/>
  <c r="M2842" i="1"/>
  <c r="M2841" i="1"/>
  <c r="M2840" i="1"/>
  <c r="M2839" i="1"/>
  <c r="M2838" i="1"/>
  <c r="M2837" i="1"/>
  <c r="M2836" i="1"/>
  <c r="M2835" i="1"/>
  <c r="M2834" i="1"/>
  <c r="M2833" i="1"/>
  <c r="M2832" i="1"/>
  <c r="M2831" i="1"/>
  <c r="M2830" i="1"/>
  <c r="M2829" i="1"/>
  <c r="M2828" i="1"/>
  <c r="M2827" i="1"/>
  <c r="M2826" i="1"/>
  <c r="M2825" i="1"/>
  <c r="M2824" i="1"/>
  <c r="M2823" i="1"/>
  <c r="M2822" i="1"/>
  <c r="M2821" i="1"/>
  <c r="M2820" i="1"/>
  <c r="M2819" i="1"/>
  <c r="M2818" i="1"/>
  <c r="M2817" i="1"/>
  <c r="M2816" i="1"/>
  <c r="M2815" i="1"/>
  <c r="M2814" i="1"/>
  <c r="M2813" i="1"/>
  <c r="M2812" i="1"/>
  <c r="M2811" i="1"/>
  <c r="M2810" i="1"/>
  <c r="M2809" i="1"/>
  <c r="M2808" i="1"/>
  <c r="M2807" i="1"/>
  <c r="M2806" i="1"/>
  <c r="M2805" i="1"/>
  <c r="M2804" i="1"/>
  <c r="M2803" i="1"/>
  <c r="M2802" i="1"/>
  <c r="M2801" i="1"/>
  <c r="M2800" i="1"/>
  <c r="M2799" i="1"/>
  <c r="M2798" i="1"/>
  <c r="M2797" i="1"/>
  <c r="M2796" i="1"/>
  <c r="M2795" i="1"/>
  <c r="M2794" i="1"/>
  <c r="M2793" i="1"/>
  <c r="M2792" i="1"/>
  <c r="M2789" i="1"/>
  <c r="M2788" i="1"/>
  <c r="M2787" i="1"/>
  <c r="M2786" i="1"/>
  <c r="M2785" i="1"/>
  <c r="M2784" i="1"/>
  <c r="M2783" i="1"/>
  <c r="M2782" i="1"/>
  <c r="M2781" i="1"/>
  <c r="M2780" i="1"/>
  <c r="M2779" i="1"/>
  <c r="M2778" i="1"/>
  <c r="M2777" i="1"/>
  <c r="M2776" i="1"/>
  <c r="M2775" i="1"/>
  <c r="M2774" i="1"/>
  <c r="M2773" i="1"/>
  <c r="M2772" i="1"/>
  <c r="M2771" i="1"/>
  <c r="M2770" i="1"/>
  <c r="M2769" i="1"/>
  <c r="M2768" i="1"/>
  <c r="M2767" i="1"/>
  <c r="M2766" i="1"/>
  <c r="M2765" i="1"/>
  <c r="M2764" i="1"/>
  <c r="M2763" i="1"/>
  <c r="M2762" i="1"/>
  <c r="M2761" i="1"/>
  <c r="M2760" i="1"/>
  <c r="M2759" i="1"/>
  <c r="M2758" i="1"/>
  <c r="M2757" i="1"/>
  <c r="M2756" i="1"/>
  <c r="M2755" i="1"/>
  <c r="M2754" i="1"/>
  <c r="M2753" i="1"/>
  <c r="M2752" i="1"/>
  <c r="M2751" i="1"/>
  <c r="M2750" i="1"/>
  <c r="M2731" i="1"/>
  <c r="M2730" i="1"/>
  <c r="M2729" i="1"/>
  <c r="M2727" i="1"/>
  <c r="M2726" i="1"/>
  <c r="M2725" i="1"/>
  <c r="M2723" i="1"/>
  <c r="M2722" i="1"/>
  <c r="M2721" i="1"/>
  <c r="M2719" i="1"/>
  <c r="M2718" i="1"/>
  <c r="M2717" i="1"/>
  <c r="M2715" i="1"/>
  <c r="M2714" i="1"/>
  <c r="M2713" i="1"/>
  <c r="M2711" i="1"/>
  <c r="M2710" i="1"/>
  <c r="M2709" i="1"/>
  <c r="M2707" i="1"/>
  <c r="M2706" i="1"/>
  <c r="M2705" i="1"/>
  <c r="M2703" i="1"/>
  <c r="M2702" i="1"/>
  <c r="M2701" i="1"/>
  <c r="M2699" i="1"/>
  <c r="M2698" i="1"/>
  <c r="M2697" i="1"/>
  <c r="M2695" i="1"/>
  <c r="M2694" i="1"/>
  <c r="M2693" i="1"/>
  <c r="M2691" i="1"/>
  <c r="M2690" i="1"/>
  <c r="M2689" i="1"/>
  <c r="M2685" i="1"/>
  <c r="M2684" i="1"/>
  <c r="M2683" i="1"/>
  <c r="M2681" i="1"/>
  <c r="M2680" i="1"/>
  <c r="M2679" i="1"/>
  <c r="M2677" i="1"/>
  <c r="M2676" i="1"/>
  <c r="M2675" i="1"/>
  <c r="M2673" i="1"/>
  <c r="M2672" i="1"/>
  <c r="M2671" i="1"/>
  <c r="M2669" i="1"/>
  <c r="M2668" i="1"/>
  <c r="M2667" i="1"/>
  <c r="M2665" i="1"/>
  <c r="M2664" i="1"/>
  <c r="M2663" i="1"/>
  <c r="M2661" i="1"/>
  <c r="M2660" i="1"/>
  <c r="M2659" i="1"/>
  <c r="M2657" i="1"/>
  <c r="M2656" i="1"/>
  <c r="M2655" i="1"/>
  <c r="M2654" i="1"/>
  <c r="M2653" i="1"/>
  <c r="M2652" i="1"/>
  <c r="M2651" i="1"/>
  <c r="M2650" i="1"/>
  <c r="M2649" i="1"/>
  <c r="M2648" i="1"/>
  <c r="M2647" i="1"/>
  <c r="M2646" i="1"/>
  <c r="M2645" i="1"/>
  <c r="M2644" i="1"/>
  <c r="M2643" i="1"/>
  <c r="M2642" i="1"/>
  <c r="M2641" i="1"/>
  <c r="M2640" i="1"/>
  <c r="M2639" i="1"/>
  <c r="M2638" i="1"/>
  <c r="M2637" i="1"/>
  <c r="M2636" i="1"/>
  <c r="M2635" i="1"/>
  <c r="M2634" i="1"/>
  <c r="M2633" i="1"/>
  <c r="M2632" i="1"/>
  <c r="M2631" i="1"/>
  <c r="M2630" i="1"/>
  <c r="M2629" i="1"/>
  <c r="M2628" i="1"/>
  <c r="M2627" i="1"/>
  <c r="M2626" i="1"/>
  <c r="M2625" i="1"/>
  <c r="M2624" i="1"/>
  <c r="M2623" i="1"/>
  <c r="M2622" i="1"/>
  <c r="M2621" i="1"/>
  <c r="M2620" i="1"/>
  <c r="M2619" i="1"/>
  <c r="M2449" i="1"/>
  <c r="M2448" i="1"/>
  <c r="M2447" i="1"/>
  <c r="M2446" i="1"/>
  <c r="M2445" i="1"/>
  <c r="M2444" i="1"/>
  <c r="M2441" i="1"/>
  <c r="M2440" i="1"/>
  <c r="M2439" i="1"/>
  <c r="M2438" i="1"/>
  <c r="M2437" i="1"/>
  <c r="M2436" i="1"/>
  <c r="M2435" i="1"/>
  <c r="M2434" i="1"/>
  <c r="M2433" i="1"/>
  <c r="M2432" i="1"/>
  <c r="M2431" i="1"/>
  <c r="M2430" i="1"/>
  <c r="M2429" i="1"/>
  <c r="M2428" i="1"/>
  <c r="M2427" i="1"/>
  <c r="M2426" i="1"/>
  <c r="M2425" i="1"/>
  <c r="M2424" i="1"/>
  <c r="M2423" i="1"/>
  <c r="M2422" i="1"/>
  <c r="M2421" i="1"/>
  <c r="M2420" i="1"/>
  <c r="M2419" i="1"/>
  <c r="M2418" i="1"/>
  <c r="M2417" i="1"/>
  <c r="M2416" i="1"/>
  <c r="M2415" i="1"/>
  <c r="M2414" i="1"/>
  <c r="M2413" i="1"/>
  <c r="M2412" i="1"/>
  <c r="M2411" i="1"/>
  <c r="M2410" i="1"/>
  <c r="M2409" i="1"/>
  <c r="M2408" i="1"/>
  <c r="M2407" i="1"/>
  <c r="M2406" i="1"/>
  <c r="M2405" i="1"/>
  <c r="M2404" i="1"/>
  <c r="M2403" i="1"/>
  <c r="M2402" i="1"/>
  <c r="M2401" i="1"/>
  <c r="M2400" i="1"/>
  <c r="M2399" i="1"/>
  <c r="M2398" i="1"/>
  <c r="M2397" i="1"/>
  <c r="M2396" i="1"/>
  <c r="M2395" i="1"/>
  <c r="M2394" i="1"/>
  <c r="M2393" i="1"/>
  <c r="M2392" i="1"/>
  <c r="M2391" i="1"/>
  <c r="M2390" i="1"/>
  <c r="M2389" i="1"/>
  <c r="M2388" i="1"/>
  <c r="M2387" i="1"/>
  <c r="M2386" i="1"/>
  <c r="M2385" i="1"/>
  <c r="M2384" i="1"/>
  <c r="M2383" i="1"/>
  <c r="M2382" i="1"/>
  <c r="M2380" i="1"/>
  <c r="M2379" i="1"/>
  <c r="M2378" i="1"/>
  <c r="M2377" i="1"/>
  <c r="M2376" i="1"/>
  <c r="M2375" i="1"/>
  <c r="M2374" i="1"/>
  <c r="M2373" i="1"/>
  <c r="M2372" i="1"/>
  <c r="M2371" i="1"/>
  <c r="M2370" i="1"/>
  <c r="M2369" i="1"/>
  <c r="M2339" i="1"/>
  <c r="M2338" i="1"/>
  <c r="M2337" i="1"/>
  <c r="M2336" i="1"/>
  <c r="M2335" i="1"/>
  <c r="M2334" i="1"/>
  <c r="M2333" i="1"/>
  <c r="M2332" i="1"/>
  <c r="M2331" i="1"/>
  <c r="M2330" i="1"/>
  <c r="M2329" i="1"/>
  <c r="M2328" i="1"/>
  <c r="M2327"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2" i="1"/>
  <c r="M2291" i="1"/>
  <c r="M2290" i="1"/>
  <c r="M2289" i="1"/>
  <c r="M2288" i="1"/>
  <c r="M2287" i="1"/>
  <c r="M2286" i="1"/>
  <c r="M2285" i="1"/>
  <c r="M2267" i="1"/>
  <c r="M2266" i="1"/>
  <c r="M2265" i="1"/>
  <c r="M2264" i="1"/>
  <c r="M2263" i="1"/>
  <c r="M2262" i="1"/>
  <c r="M2261" i="1"/>
  <c r="M2260" i="1"/>
  <c r="M2259" i="1"/>
  <c r="M2258" i="1"/>
  <c r="M2257" i="1"/>
  <c r="M2256" i="1"/>
  <c r="M2255" i="1"/>
  <c r="M2254" i="1"/>
  <c r="M2253" i="1"/>
  <c r="M2252" i="1"/>
  <c r="M2251" i="1"/>
  <c r="M2250" i="1"/>
  <c r="M2249" i="1"/>
  <c r="M2248" i="1"/>
  <c r="M2247" i="1"/>
  <c r="M2246" i="1"/>
  <c r="M2245" i="1"/>
  <c r="M2244" i="1"/>
  <c r="M2243" i="1"/>
  <c r="M2242" i="1"/>
  <c r="M2241" i="1"/>
  <c r="M2240" i="1"/>
  <c r="M2239" i="1"/>
  <c r="M2238" i="1"/>
  <c r="M2237" i="1"/>
  <c r="M2236" i="1"/>
  <c r="M2235" i="1"/>
  <c r="M2234" i="1"/>
  <c r="M2233" i="1"/>
  <c r="M2232" i="1"/>
  <c r="M2231" i="1"/>
  <c r="M2230" i="1"/>
  <c r="M2229" i="1"/>
  <c r="L3349" i="1"/>
  <c r="L3348" i="1"/>
  <c r="L3347" i="1"/>
  <c r="L3346" i="1"/>
  <c r="L3345" i="1"/>
  <c r="L3344" i="1"/>
  <c r="L3343" i="1"/>
  <c r="L3342" i="1"/>
  <c r="L3341"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76" i="1"/>
  <c r="L3275" i="1"/>
  <c r="L3274" i="1"/>
  <c r="L3273" i="1"/>
  <c r="L3272" i="1"/>
  <c r="L3271" i="1"/>
  <c r="L3270" i="1"/>
  <c r="L3269" i="1"/>
  <c r="L3268" i="1"/>
  <c r="L3267" i="1"/>
  <c r="L3266" i="1"/>
  <c r="L3265" i="1"/>
  <c r="L3264" i="1"/>
  <c r="L3263" i="1"/>
  <c r="L3262"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31" i="1"/>
  <c r="L2730" i="1"/>
  <c r="L2729" i="1"/>
  <c r="L2727" i="1"/>
  <c r="L2726" i="1"/>
  <c r="L2725" i="1"/>
  <c r="L2723" i="1"/>
  <c r="L2722" i="1"/>
  <c r="L2721" i="1"/>
  <c r="L2719" i="1"/>
  <c r="L2718" i="1"/>
  <c r="L2717" i="1"/>
  <c r="L2715" i="1"/>
  <c r="L2714" i="1"/>
  <c r="L2713" i="1"/>
  <c r="L2711" i="1"/>
  <c r="L2710" i="1"/>
  <c r="L2709" i="1"/>
  <c r="L2707" i="1"/>
  <c r="L2706" i="1"/>
  <c r="L2705" i="1"/>
  <c r="L2703" i="1"/>
  <c r="L2702" i="1"/>
  <c r="L2701" i="1"/>
  <c r="L2699" i="1"/>
  <c r="L2698" i="1"/>
  <c r="L2697" i="1"/>
  <c r="L2695" i="1"/>
  <c r="L2694" i="1"/>
  <c r="L2693" i="1"/>
  <c r="L2691" i="1"/>
  <c r="L2690" i="1"/>
  <c r="L2689" i="1"/>
  <c r="L2685" i="1"/>
  <c r="L2684" i="1"/>
  <c r="L2683" i="1"/>
  <c r="L2681" i="1"/>
  <c r="L2680" i="1"/>
  <c r="L2679" i="1"/>
  <c r="L2677" i="1"/>
  <c r="L2676" i="1"/>
  <c r="L2675" i="1"/>
  <c r="L2673" i="1"/>
  <c r="L2672" i="1"/>
  <c r="L2671" i="1"/>
  <c r="L2669" i="1"/>
  <c r="L2668" i="1"/>
  <c r="L2667" i="1"/>
  <c r="L2665" i="1"/>
  <c r="L2664" i="1"/>
  <c r="L2663" i="1"/>
  <c r="L2661" i="1"/>
  <c r="L2660" i="1"/>
  <c r="L2659"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449" i="1"/>
  <c r="L2448" i="1"/>
  <c r="L2447" i="1"/>
  <c r="L2446" i="1"/>
  <c r="L2445" i="1"/>
  <c r="L2444"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0" i="1"/>
  <c r="L2379" i="1"/>
  <c r="L2378" i="1"/>
  <c r="L2377" i="1"/>
  <c r="L2376" i="1"/>
  <c r="L2375" i="1"/>
  <c r="L2374" i="1"/>
  <c r="L2373" i="1"/>
  <c r="L2372" i="1"/>
  <c r="L2371" i="1"/>
  <c r="L2370" i="1"/>
  <c r="L2369"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2" i="1"/>
  <c r="L2291" i="1"/>
  <c r="L2290" i="1"/>
  <c r="L2289" i="1"/>
  <c r="L2288" i="1"/>
  <c r="L2287" i="1"/>
  <c r="L2286" i="1"/>
  <c r="L2285"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K3349" i="1"/>
  <c r="K3348" i="1"/>
  <c r="K3347" i="1"/>
  <c r="K3346" i="1"/>
  <c r="K3345" i="1"/>
  <c r="K3344" i="1"/>
  <c r="K3343" i="1"/>
  <c r="K3342" i="1"/>
  <c r="K3341"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76" i="1"/>
  <c r="K3275" i="1"/>
  <c r="K3274" i="1"/>
  <c r="K3273" i="1"/>
  <c r="K3272" i="1"/>
  <c r="K3271" i="1"/>
  <c r="K3270" i="1"/>
  <c r="K3269" i="1"/>
  <c r="K3268" i="1"/>
  <c r="K3267" i="1"/>
  <c r="K3266" i="1"/>
  <c r="K3265" i="1"/>
  <c r="K3264" i="1"/>
  <c r="K3263" i="1"/>
  <c r="K3262"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31" i="1"/>
  <c r="K2730" i="1"/>
  <c r="K2729" i="1"/>
  <c r="K2727" i="1"/>
  <c r="K2726" i="1"/>
  <c r="K2725" i="1"/>
  <c r="K2723" i="1"/>
  <c r="K2722" i="1"/>
  <c r="K2721" i="1"/>
  <c r="K2719" i="1"/>
  <c r="K2718" i="1"/>
  <c r="K2717" i="1"/>
  <c r="K2715" i="1"/>
  <c r="K2714" i="1"/>
  <c r="K2713" i="1"/>
  <c r="K2711" i="1"/>
  <c r="K2710" i="1"/>
  <c r="K2709" i="1"/>
  <c r="K2707" i="1"/>
  <c r="K2706" i="1"/>
  <c r="K2705" i="1"/>
  <c r="K2703" i="1"/>
  <c r="K2702" i="1"/>
  <c r="K2701" i="1"/>
  <c r="K2699" i="1"/>
  <c r="K2698" i="1"/>
  <c r="K2697" i="1"/>
  <c r="K2695" i="1"/>
  <c r="K2694" i="1"/>
  <c r="K2693" i="1"/>
  <c r="K2691" i="1"/>
  <c r="K2690" i="1"/>
  <c r="K2689" i="1"/>
  <c r="K2685" i="1"/>
  <c r="K2684" i="1"/>
  <c r="K2683" i="1"/>
  <c r="K2681" i="1"/>
  <c r="K2680" i="1"/>
  <c r="K2679" i="1"/>
  <c r="K2677" i="1"/>
  <c r="K2676" i="1"/>
  <c r="K2675" i="1"/>
  <c r="K2673" i="1"/>
  <c r="K2672" i="1"/>
  <c r="K2671" i="1"/>
  <c r="K2669" i="1"/>
  <c r="K2668" i="1"/>
  <c r="K2667" i="1"/>
  <c r="K2665" i="1"/>
  <c r="K2664" i="1"/>
  <c r="K2663" i="1"/>
  <c r="K2661" i="1"/>
  <c r="K2660" i="1"/>
  <c r="K2659"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449" i="1"/>
  <c r="K2448" i="1"/>
  <c r="K2447" i="1"/>
  <c r="K2446" i="1"/>
  <c r="K2445" i="1"/>
  <c r="K2444"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0" i="1"/>
  <c r="K2379" i="1"/>
  <c r="K2378" i="1"/>
  <c r="K2377" i="1"/>
  <c r="K2376" i="1"/>
  <c r="K2375" i="1"/>
  <c r="K2374" i="1"/>
  <c r="K2373" i="1"/>
  <c r="K2372" i="1"/>
  <c r="K2371" i="1"/>
  <c r="K2370" i="1"/>
  <c r="K2369"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2" i="1"/>
  <c r="K2291" i="1"/>
  <c r="K2290" i="1"/>
  <c r="K2289" i="1"/>
  <c r="K2288" i="1"/>
  <c r="K2287" i="1"/>
  <c r="K2286" i="1"/>
  <c r="K2285"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J3349" i="1"/>
  <c r="J3348" i="1"/>
  <c r="J3347" i="1"/>
  <c r="J3346" i="1"/>
  <c r="J3345" i="1"/>
  <c r="J3344" i="1"/>
  <c r="J3343" i="1"/>
  <c r="J3342" i="1"/>
  <c r="J3341"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76" i="1"/>
  <c r="J3275" i="1"/>
  <c r="J3274" i="1"/>
  <c r="J3273" i="1"/>
  <c r="J3272" i="1"/>
  <c r="J3271" i="1"/>
  <c r="J3270" i="1"/>
  <c r="J3269" i="1"/>
  <c r="J3268" i="1"/>
  <c r="J3267" i="1"/>
  <c r="J3266" i="1"/>
  <c r="J3265" i="1"/>
  <c r="J3264" i="1"/>
  <c r="J3263" i="1"/>
  <c r="J3262"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31" i="1"/>
  <c r="J2730" i="1"/>
  <c r="J2729" i="1"/>
  <c r="J2727" i="1"/>
  <c r="J2726" i="1"/>
  <c r="J2725" i="1"/>
  <c r="J2723" i="1"/>
  <c r="J2722" i="1"/>
  <c r="J2721" i="1"/>
  <c r="J2719" i="1"/>
  <c r="J2718" i="1"/>
  <c r="J2717" i="1"/>
  <c r="J2715" i="1"/>
  <c r="J2714" i="1"/>
  <c r="J2713" i="1"/>
  <c r="J2711" i="1"/>
  <c r="J2710" i="1"/>
  <c r="J2709" i="1"/>
  <c r="J2707" i="1"/>
  <c r="J2706" i="1"/>
  <c r="J2705" i="1"/>
  <c r="J2703" i="1"/>
  <c r="J2702" i="1"/>
  <c r="J2701" i="1"/>
  <c r="J2699" i="1"/>
  <c r="J2698" i="1"/>
  <c r="J2697" i="1"/>
  <c r="J2695" i="1"/>
  <c r="J2694" i="1"/>
  <c r="J2693" i="1"/>
  <c r="J2691" i="1"/>
  <c r="J2690" i="1"/>
  <c r="J2689" i="1"/>
  <c r="J2685" i="1"/>
  <c r="J2684" i="1"/>
  <c r="J2683" i="1"/>
  <c r="J2681" i="1"/>
  <c r="J2680" i="1"/>
  <c r="J2679" i="1"/>
  <c r="J2677" i="1"/>
  <c r="J2676" i="1"/>
  <c r="J2675" i="1"/>
  <c r="J2673" i="1"/>
  <c r="J2672" i="1"/>
  <c r="J2671" i="1"/>
  <c r="J2669" i="1"/>
  <c r="J2668" i="1"/>
  <c r="J2667" i="1"/>
  <c r="J2665" i="1"/>
  <c r="J2664" i="1"/>
  <c r="J2663" i="1"/>
  <c r="J2661" i="1"/>
  <c r="J2660" i="1"/>
  <c r="J2659"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449" i="1"/>
  <c r="J2448" i="1"/>
  <c r="J2447" i="1"/>
  <c r="J2446" i="1"/>
  <c r="J2445" i="1"/>
  <c r="J2444"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0" i="1"/>
  <c r="J2379" i="1"/>
  <c r="J2378" i="1"/>
  <c r="J2377" i="1"/>
  <c r="J2376" i="1"/>
  <c r="J2375" i="1"/>
  <c r="J2374" i="1"/>
  <c r="J2373" i="1"/>
  <c r="J2372" i="1"/>
  <c r="J2371" i="1"/>
  <c r="J2370" i="1"/>
  <c r="J2369"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2" i="1"/>
  <c r="J2291" i="1"/>
  <c r="J2290" i="1"/>
  <c r="J2289" i="1"/>
  <c r="J2288" i="1"/>
  <c r="J2287" i="1"/>
  <c r="J2286" i="1"/>
  <c r="J2285"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I3349" i="1"/>
  <c r="I3348" i="1"/>
  <c r="I3347" i="1"/>
  <c r="I3346" i="1"/>
  <c r="I3345" i="1"/>
  <c r="I3344" i="1"/>
  <c r="I3343" i="1"/>
  <c r="I3342" i="1"/>
  <c r="I3341"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76" i="1"/>
  <c r="I3275" i="1"/>
  <c r="I3274" i="1"/>
  <c r="I3273" i="1"/>
  <c r="I3272" i="1"/>
  <c r="I3271" i="1"/>
  <c r="I3270" i="1"/>
  <c r="I3269" i="1"/>
  <c r="I3268" i="1"/>
  <c r="I3267" i="1"/>
  <c r="I3266" i="1"/>
  <c r="I3265" i="1"/>
  <c r="I3264" i="1"/>
  <c r="I3263" i="1"/>
  <c r="I3262"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31" i="1"/>
  <c r="I2730" i="1"/>
  <c r="I2729" i="1"/>
  <c r="I2727" i="1"/>
  <c r="I2726" i="1"/>
  <c r="I2725" i="1"/>
  <c r="I2723" i="1"/>
  <c r="I2722" i="1"/>
  <c r="I2721" i="1"/>
  <c r="I2719" i="1"/>
  <c r="I2718" i="1"/>
  <c r="I2717" i="1"/>
  <c r="I2715" i="1"/>
  <c r="I2714" i="1"/>
  <c r="I2713" i="1"/>
  <c r="I2711" i="1"/>
  <c r="I2710" i="1"/>
  <c r="I2709" i="1"/>
  <c r="I2707" i="1"/>
  <c r="I2706" i="1"/>
  <c r="I2705" i="1"/>
  <c r="I2703" i="1"/>
  <c r="I2702" i="1"/>
  <c r="I2701" i="1"/>
  <c r="I2699" i="1"/>
  <c r="I2698" i="1"/>
  <c r="I2697" i="1"/>
  <c r="I2695" i="1"/>
  <c r="I2694" i="1"/>
  <c r="I2693" i="1"/>
  <c r="I2691" i="1"/>
  <c r="I2690" i="1"/>
  <c r="I2689" i="1"/>
  <c r="I2685" i="1"/>
  <c r="I2684" i="1"/>
  <c r="I2683" i="1"/>
  <c r="I2681" i="1"/>
  <c r="I2680" i="1"/>
  <c r="I2679" i="1"/>
  <c r="I2677" i="1"/>
  <c r="I2676" i="1"/>
  <c r="I2675" i="1"/>
  <c r="I2673" i="1"/>
  <c r="I2672" i="1"/>
  <c r="I2671" i="1"/>
  <c r="I2669" i="1"/>
  <c r="I2668" i="1"/>
  <c r="I2667" i="1"/>
  <c r="I2665" i="1"/>
  <c r="I2664" i="1"/>
  <c r="I2663" i="1"/>
  <c r="I2661" i="1"/>
  <c r="I2660" i="1"/>
  <c r="I2659"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449" i="1"/>
  <c r="I2448" i="1"/>
  <c r="I2447" i="1"/>
  <c r="I2446" i="1"/>
  <c r="I2445" i="1"/>
  <c r="I2444"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0" i="1"/>
  <c r="I2379" i="1"/>
  <c r="I2378" i="1"/>
  <c r="I2377" i="1"/>
  <c r="I2376" i="1"/>
  <c r="I2375" i="1"/>
  <c r="I2374" i="1"/>
  <c r="I2373" i="1"/>
  <c r="I2372" i="1"/>
  <c r="I2371" i="1"/>
  <c r="I2370" i="1"/>
  <c r="I2369"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2" i="1"/>
  <c r="I2291" i="1"/>
  <c r="I2290" i="1"/>
  <c r="I2289" i="1"/>
  <c r="I2288" i="1"/>
  <c r="I2287" i="1"/>
  <c r="I2286" i="1"/>
  <c r="I2285"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H3349" i="1"/>
  <c r="H3348" i="1"/>
  <c r="H3347" i="1"/>
  <c r="H3346" i="1"/>
  <c r="H3345" i="1"/>
  <c r="H3344" i="1"/>
  <c r="H3343" i="1"/>
  <c r="H3342" i="1"/>
  <c r="H3341"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76" i="1"/>
  <c r="H3275" i="1"/>
  <c r="H3274" i="1"/>
  <c r="H3273" i="1"/>
  <c r="H3272" i="1"/>
  <c r="H3271" i="1"/>
  <c r="H3270" i="1"/>
  <c r="H3269" i="1"/>
  <c r="H3268" i="1"/>
  <c r="H3267" i="1"/>
  <c r="H3266" i="1"/>
  <c r="H3265" i="1"/>
  <c r="H3264" i="1"/>
  <c r="H3263" i="1"/>
  <c r="H3262"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31" i="1"/>
  <c r="H2730" i="1"/>
  <c r="H2729" i="1"/>
  <c r="H2727" i="1"/>
  <c r="H2726" i="1"/>
  <c r="H2725" i="1"/>
  <c r="H2723" i="1"/>
  <c r="H2722" i="1"/>
  <c r="H2721" i="1"/>
  <c r="H2719" i="1"/>
  <c r="H2718" i="1"/>
  <c r="H2717" i="1"/>
  <c r="H2715" i="1"/>
  <c r="H2714" i="1"/>
  <c r="H2713" i="1"/>
  <c r="H2711" i="1"/>
  <c r="H2710" i="1"/>
  <c r="H2709" i="1"/>
  <c r="H2707" i="1"/>
  <c r="H2706" i="1"/>
  <c r="H2705" i="1"/>
  <c r="H2703" i="1"/>
  <c r="H2702" i="1"/>
  <c r="H2701" i="1"/>
  <c r="H2699" i="1"/>
  <c r="H2698" i="1"/>
  <c r="H2697" i="1"/>
  <c r="H2695" i="1"/>
  <c r="H2694" i="1"/>
  <c r="H2693" i="1"/>
  <c r="H2691" i="1"/>
  <c r="H2690" i="1"/>
  <c r="H2689" i="1"/>
  <c r="H2685" i="1"/>
  <c r="H2684" i="1"/>
  <c r="H2683" i="1"/>
  <c r="H2681" i="1"/>
  <c r="H2680" i="1"/>
  <c r="H2679" i="1"/>
  <c r="H2677" i="1"/>
  <c r="H2676" i="1"/>
  <c r="H2675" i="1"/>
  <c r="H2673" i="1"/>
  <c r="H2672" i="1"/>
  <c r="H2671" i="1"/>
  <c r="H2669" i="1"/>
  <c r="H2668" i="1"/>
  <c r="H2667" i="1"/>
  <c r="H2665" i="1"/>
  <c r="H2664" i="1"/>
  <c r="H2663" i="1"/>
  <c r="H2661" i="1"/>
  <c r="H2660" i="1"/>
  <c r="H2659"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449" i="1"/>
  <c r="H2448" i="1"/>
  <c r="H2447" i="1"/>
  <c r="H2446" i="1"/>
  <c r="H2445" i="1"/>
  <c r="H2444"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0" i="1"/>
  <c r="H2379" i="1"/>
  <c r="H2378" i="1"/>
  <c r="H2377" i="1"/>
  <c r="H2376" i="1"/>
  <c r="H2375" i="1"/>
  <c r="H2374" i="1"/>
  <c r="H2373" i="1"/>
  <c r="H2372" i="1"/>
  <c r="H2371" i="1"/>
  <c r="H2370" i="1"/>
  <c r="H2369"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2" i="1"/>
  <c r="H2291" i="1"/>
  <c r="H2290" i="1"/>
  <c r="H2289" i="1"/>
  <c r="H2288" i="1"/>
  <c r="H2287" i="1"/>
  <c r="H2286" i="1"/>
  <c r="H2285"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G3349" i="1"/>
  <c r="G3348" i="1"/>
  <c r="G3347" i="1"/>
  <c r="G3346" i="1"/>
  <c r="G3345" i="1"/>
  <c r="G3344" i="1"/>
  <c r="G3343" i="1"/>
  <c r="G3342" i="1"/>
  <c r="G3341"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76" i="1"/>
  <c r="G3275" i="1"/>
  <c r="G3274" i="1"/>
  <c r="G3273" i="1"/>
  <c r="G3272" i="1"/>
  <c r="G3271" i="1"/>
  <c r="G3270" i="1"/>
  <c r="G3269" i="1"/>
  <c r="G3268" i="1"/>
  <c r="G3267" i="1"/>
  <c r="G3266" i="1"/>
  <c r="G3265" i="1"/>
  <c r="G3264" i="1"/>
  <c r="G3263" i="1"/>
  <c r="G3262"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31" i="1"/>
  <c r="G2730" i="1"/>
  <c r="G2729" i="1"/>
  <c r="G2727" i="1"/>
  <c r="G2726" i="1"/>
  <c r="G2725" i="1"/>
  <c r="G2723" i="1"/>
  <c r="G2722" i="1"/>
  <c r="G2721" i="1"/>
  <c r="G2719" i="1"/>
  <c r="G2718" i="1"/>
  <c r="G2717" i="1"/>
  <c r="G2715" i="1"/>
  <c r="G2714" i="1"/>
  <c r="G2713" i="1"/>
  <c r="G2711" i="1"/>
  <c r="G2710" i="1"/>
  <c r="G2709" i="1"/>
  <c r="G2707" i="1"/>
  <c r="G2706" i="1"/>
  <c r="G2705" i="1"/>
  <c r="G2703" i="1"/>
  <c r="G2702" i="1"/>
  <c r="G2701" i="1"/>
  <c r="G2699" i="1"/>
  <c r="G2698" i="1"/>
  <c r="G2697" i="1"/>
  <c r="G2695" i="1"/>
  <c r="G2694" i="1"/>
  <c r="G2693" i="1"/>
  <c r="G2691" i="1"/>
  <c r="G2690" i="1"/>
  <c r="G2689" i="1"/>
  <c r="G2685" i="1"/>
  <c r="G2684" i="1"/>
  <c r="G2683" i="1"/>
  <c r="G2681" i="1"/>
  <c r="G2680" i="1"/>
  <c r="G2679" i="1"/>
  <c r="G2677" i="1"/>
  <c r="G2676" i="1"/>
  <c r="G2675" i="1"/>
  <c r="G2673" i="1"/>
  <c r="G2672" i="1"/>
  <c r="G2671" i="1"/>
  <c r="G2669" i="1"/>
  <c r="G2668" i="1"/>
  <c r="G2667" i="1"/>
  <c r="G2665" i="1"/>
  <c r="G2664" i="1"/>
  <c r="G2663" i="1"/>
  <c r="G2661" i="1"/>
  <c r="G2660" i="1"/>
  <c r="G2659"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449" i="1"/>
  <c r="G2448" i="1"/>
  <c r="G2447" i="1"/>
  <c r="G2446" i="1"/>
  <c r="G2445" i="1"/>
  <c r="G2444"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0" i="1"/>
  <c r="G2379" i="1"/>
  <c r="G2378" i="1"/>
  <c r="G2377" i="1"/>
  <c r="G2376" i="1"/>
  <c r="G2375" i="1"/>
  <c r="G2374" i="1"/>
  <c r="G2373" i="1"/>
  <c r="G2372" i="1"/>
  <c r="G2371" i="1"/>
  <c r="G2370" i="1"/>
  <c r="G2369"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2" i="1"/>
  <c r="G2291" i="1"/>
  <c r="G2290" i="1"/>
  <c r="G2289" i="1"/>
  <c r="G2288" i="1"/>
  <c r="G2287" i="1"/>
  <c r="G2286" i="1"/>
  <c r="G2285"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F3349" i="1"/>
  <c r="F3348" i="1"/>
  <c r="F3347" i="1"/>
  <c r="F3346" i="1"/>
  <c r="F3345" i="1"/>
  <c r="F3344" i="1"/>
  <c r="F3343" i="1"/>
  <c r="F3342" i="1"/>
  <c r="F3341"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76" i="1"/>
  <c r="F3275" i="1"/>
  <c r="F3274" i="1"/>
  <c r="F3273" i="1"/>
  <c r="F3272" i="1"/>
  <c r="F3271" i="1"/>
  <c r="F3270" i="1"/>
  <c r="F3269" i="1"/>
  <c r="F3268" i="1"/>
  <c r="F3267" i="1"/>
  <c r="F3266" i="1"/>
  <c r="F3265" i="1"/>
  <c r="F3264" i="1"/>
  <c r="F3263" i="1"/>
  <c r="F3262"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31" i="1"/>
  <c r="F2730" i="1"/>
  <c r="F2729" i="1"/>
  <c r="F2727" i="1"/>
  <c r="F2726" i="1"/>
  <c r="F2725" i="1"/>
  <c r="F2723" i="1"/>
  <c r="F2722" i="1"/>
  <c r="F2721" i="1"/>
  <c r="F2719" i="1"/>
  <c r="F2718" i="1"/>
  <c r="F2717" i="1"/>
  <c r="F2715" i="1"/>
  <c r="F2714" i="1"/>
  <c r="F2713" i="1"/>
  <c r="F2711" i="1"/>
  <c r="F2710" i="1"/>
  <c r="F2709" i="1"/>
  <c r="F2707" i="1"/>
  <c r="F2706" i="1"/>
  <c r="F2705" i="1"/>
  <c r="F2703" i="1"/>
  <c r="F2702" i="1"/>
  <c r="F2701" i="1"/>
  <c r="F2699" i="1"/>
  <c r="F2698" i="1"/>
  <c r="F2697" i="1"/>
  <c r="F2695" i="1"/>
  <c r="F2694" i="1"/>
  <c r="F2693" i="1"/>
  <c r="F2691" i="1"/>
  <c r="F2690" i="1"/>
  <c r="F2689" i="1"/>
  <c r="F2685" i="1"/>
  <c r="F2684" i="1"/>
  <c r="F2683" i="1"/>
  <c r="F2681" i="1"/>
  <c r="F2680" i="1"/>
  <c r="F2679" i="1"/>
  <c r="F2677" i="1"/>
  <c r="F2676" i="1"/>
  <c r="F2675" i="1"/>
  <c r="F2673" i="1"/>
  <c r="F2672" i="1"/>
  <c r="F2671" i="1"/>
  <c r="F2669" i="1"/>
  <c r="F2668" i="1"/>
  <c r="F2667" i="1"/>
  <c r="F2665" i="1"/>
  <c r="F2664" i="1"/>
  <c r="F2663" i="1"/>
  <c r="F2661" i="1"/>
  <c r="F2660" i="1"/>
  <c r="F2659"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449" i="1"/>
  <c r="F2448" i="1"/>
  <c r="F2447" i="1"/>
  <c r="F2446" i="1"/>
  <c r="F2445" i="1"/>
  <c r="F2444"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0" i="1"/>
  <c r="F2379" i="1"/>
  <c r="F2378" i="1"/>
  <c r="F2377" i="1"/>
  <c r="F2376" i="1"/>
  <c r="F2375" i="1"/>
  <c r="F2374" i="1"/>
  <c r="F2373" i="1"/>
  <c r="F2372" i="1"/>
  <c r="F2371" i="1"/>
  <c r="F2370" i="1"/>
  <c r="F2369"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2" i="1"/>
  <c r="F2291" i="1"/>
  <c r="F2290" i="1"/>
  <c r="F2289" i="1"/>
  <c r="F2288" i="1"/>
  <c r="F2287" i="1"/>
  <c r="F2286" i="1"/>
  <c r="F2285"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E3349" i="1"/>
  <c r="E3348" i="1"/>
  <c r="E3347" i="1"/>
  <c r="E3346" i="1"/>
  <c r="E3345" i="1"/>
  <c r="E3344" i="1"/>
  <c r="E3343" i="1"/>
  <c r="E3342" i="1"/>
  <c r="E3341"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76" i="1"/>
  <c r="E3275" i="1"/>
  <c r="E3274" i="1"/>
  <c r="E3273" i="1"/>
  <c r="E3272" i="1"/>
  <c r="E3271" i="1"/>
  <c r="E3270" i="1"/>
  <c r="E3269" i="1"/>
  <c r="E3268" i="1"/>
  <c r="E3267" i="1"/>
  <c r="E3266" i="1"/>
  <c r="E3265" i="1"/>
  <c r="E3264" i="1"/>
  <c r="E3263" i="1"/>
  <c r="E3262"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31" i="1"/>
  <c r="E2730" i="1"/>
  <c r="E2729" i="1"/>
  <c r="E2727" i="1"/>
  <c r="E2726" i="1"/>
  <c r="E2725" i="1"/>
  <c r="E2723" i="1"/>
  <c r="E2722" i="1"/>
  <c r="E2721" i="1"/>
  <c r="E2719" i="1"/>
  <c r="E2718" i="1"/>
  <c r="E2717" i="1"/>
  <c r="E2715" i="1"/>
  <c r="E2714" i="1"/>
  <c r="E2713" i="1"/>
  <c r="E2711" i="1"/>
  <c r="E2710" i="1"/>
  <c r="E2709" i="1"/>
  <c r="E2707" i="1"/>
  <c r="E2706" i="1"/>
  <c r="E2705" i="1"/>
  <c r="E2703" i="1"/>
  <c r="E2702" i="1"/>
  <c r="E2701" i="1"/>
  <c r="E2699" i="1"/>
  <c r="E2698" i="1"/>
  <c r="E2697" i="1"/>
  <c r="E2695" i="1"/>
  <c r="E2694" i="1"/>
  <c r="E2693" i="1"/>
  <c r="E2691" i="1"/>
  <c r="E2690" i="1"/>
  <c r="E2689" i="1"/>
  <c r="E2685" i="1"/>
  <c r="E2684" i="1"/>
  <c r="E2683" i="1"/>
  <c r="E2681" i="1"/>
  <c r="E2680" i="1"/>
  <c r="E2679" i="1"/>
  <c r="E2677" i="1"/>
  <c r="E2676" i="1"/>
  <c r="E2675" i="1"/>
  <c r="E2673" i="1"/>
  <c r="E2672" i="1"/>
  <c r="E2671" i="1"/>
  <c r="E2669" i="1"/>
  <c r="E2668" i="1"/>
  <c r="E2667" i="1"/>
  <c r="E2665" i="1"/>
  <c r="E2664" i="1"/>
  <c r="E2663" i="1"/>
  <c r="E2661" i="1"/>
  <c r="E2660" i="1"/>
  <c r="E2659"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449" i="1"/>
  <c r="E2448" i="1"/>
  <c r="E2447" i="1"/>
  <c r="E2446" i="1"/>
  <c r="E2445" i="1"/>
  <c r="E2444"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0" i="1"/>
  <c r="E2379" i="1"/>
  <c r="E2378" i="1"/>
  <c r="E2377" i="1"/>
  <c r="E2376" i="1"/>
  <c r="E2375" i="1"/>
  <c r="E2374" i="1"/>
  <c r="E2373" i="1"/>
  <c r="E2372" i="1"/>
  <c r="E2371" i="1"/>
  <c r="E2370" i="1"/>
  <c r="E2369"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2" i="1"/>
  <c r="E2291" i="1"/>
  <c r="E2290" i="1"/>
  <c r="E2289" i="1"/>
  <c r="E2288" i="1"/>
  <c r="E2287" i="1"/>
  <c r="E2286" i="1"/>
  <c r="E2285"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D3349" i="1"/>
  <c r="D3348" i="1"/>
  <c r="D3347" i="1"/>
  <c r="D3346" i="1"/>
  <c r="D3345" i="1"/>
  <c r="D3344" i="1"/>
  <c r="D3343" i="1"/>
  <c r="D3342" i="1"/>
  <c r="D3341"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76" i="1"/>
  <c r="D3275" i="1"/>
  <c r="D3274" i="1"/>
  <c r="D3273" i="1"/>
  <c r="D3272" i="1"/>
  <c r="D3271" i="1"/>
  <c r="D3270" i="1"/>
  <c r="D3269" i="1"/>
  <c r="D3268" i="1"/>
  <c r="D3267" i="1"/>
  <c r="D3266" i="1"/>
  <c r="D3265" i="1"/>
  <c r="D3264" i="1"/>
  <c r="D3263" i="1"/>
  <c r="D3262"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31" i="1"/>
  <c r="D2730" i="1"/>
  <c r="D2729" i="1"/>
  <c r="D2727" i="1"/>
  <c r="D2726" i="1"/>
  <c r="D2725" i="1"/>
  <c r="D2723" i="1"/>
  <c r="D2722" i="1"/>
  <c r="D2721" i="1"/>
  <c r="D2719" i="1"/>
  <c r="D2718" i="1"/>
  <c r="D2717" i="1"/>
  <c r="D2715" i="1"/>
  <c r="D2714" i="1"/>
  <c r="D2713" i="1"/>
  <c r="D2711" i="1"/>
  <c r="D2710" i="1"/>
  <c r="D2709" i="1"/>
  <c r="D2707" i="1"/>
  <c r="D2706" i="1"/>
  <c r="D2705" i="1"/>
  <c r="D2703" i="1"/>
  <c r="D2702" i="1"/>
  <c r="D2701" i="1"/>
  <c r="D2699" i="1"/>
  <c r="D2698" i="1"/>
  <c r="D2697" i="1"/>
  <c r="D2695" i="1"/>
  <c r="D2694" i="1"/>
  <c r="D2693" i="1"/>
  <c r="D2691" i="1"/>
  <c r="D2690" i="1"/>
  <c r="D2689" i="1"/>
  <c r="D2685" i="1"/>
  <c r="D2684" i="1"/>
  <c r="D2683" i="1"/>
  <c r="D2681" i="1"/>
  <c r="D2680" i="1"/>
  <c r="D2679" i="1"/>
  <c r="D2677" i="1"/>
  <c r="D2676" i="1"/>
  <c r="D2675" i="1"/>
  <c r="D2673" i="1"/>
  <c r="D2672" i="1"/>
  <c r="D2671" i="1"/>
  <c r="D2669" i="1"/>
  <c r="D2668" i="1"/>
  <c r="D2667" i="1"/>
  <c r="D2665" i="1"/>
  <c r="D2664" i="1"/>
  <c r="D2663" i="1"/>
  <c r="D2661" i="1"/>
  <c r="D2660" i="1"/>
  <c r="D2659"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449" i="1"/>
  <c r="D2448" i="1"/>
  <c r="D2447" i="1"/>
  <c r="D2446" i="1"/>
  <c r="D2445" i="1"/>
  <c r="D2444"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0" i="1"/>
  <c r="D2379" i="1"/>
  <c r="D2378" i="1"/>
  <c r="D2377" i="1"/>
  <c r="D2376" i="1"/>
  <c r="D2375" i="1"/>
  <c r="D2374" i="1"/>
  <c r="D2373" i="1"/>
  <c r="D2372" i="1"/>
  <c r="D2371" i="1"/>
  <c r="D2370" i="1"/>
  <c r="D2369"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2" i="1"/>
  <c r="D2291" i="1"/>
  <c r="D2290" i="1"/>
  <c r="D2289" i="1"/>
  <c r="D2288" i="1"/>
  <c r="D2287" i="1"/>
  <c r="D2286" i="1"/>
  <c r="D2285"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466" i="1"/>
  <c r="E466" i="1"/>
  <c r="F466" i="1"/>
  <c r="G466" i="1"/>
  <c r="H466" i="1"/>
  <c r="I466" i="1"/>
  <c r="J466" i="1"/>
  <c r="K466" i="1"/>
  <c r="L466" i="1"/>
  <c r="M466" i="1"/>
  <c r="C466"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5" i="1"/>
  <c r="M1914" i="1"/>
  <c r="M1913" i="1"/>
  <c r="M1912" i="1"/>
  <c r="M1911" i="1"/>
  <c r="M1910" i="1"/>
  <c r="M1909" i="1"/>
  <c r="M1908" i="1"/>
  <c r="M1907" i="1"/>
  <c r="M1906" i="1"/>
  <c r="M1905" i="1"/>
  <c r="M1904" i="1"/>
  <c r="M1903" i="1"/>
  <c r="M1902" i="1"/>
  <c r="M1901" i="1"/>
  <c r="M1900" i="1"/>
  <c r="M1899" i="1"/>
  <c r="M1898" i="1"/>
  <c r="M1648" i="1"/>
  <c r="M1647" i="1"/>
  <c r="M1623" i="1"/>
  <c r="M1622" i="1"/>
  <c r="M1594" i="1"/>
  <c r="M1593" i="1"/>
  <c r="M1592" i="1"/>
  <c r="M1591" i="1"/>
  <c r="M1590" i="1"/>
  <c r="M1576" i="1"/>
  <c r="M1575" i="1"/>
  <c r="M1573" i="1"/>
  <c r="M1572" i="1"/>
  <c r="M1570" i="1"/>
  <c r="M1569" i="1"/>
  <c r="M1567" i="1"/>
  <c r="M1566" i="1"/>
  <c r="M1564" i="1"/>
  <c r="M1563" i="1"/>
  <c r="M1561" i="1"/>
  <c r="M1560" i="1"/>
  <c r="M1558" i="1"/>
  <c r="M1557" i="1"/>
  <c r="M1555" i="1"/>
  <c r="M1554" i="1"/>
  <c r="M1552" i="1"/>
  <c r="M1551" i="1"/>
  <c r="M1549" i="1"/>
  <c r="M1548"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59" i="1"/>
  <c r="M1458" i="1"/>
  <c r="M1457" i="1"/>
  <c r="M1456" i="1"/>
  <c r="M1455" i="1"/>
  <c r="M1454" i="1"/>
  <c r="M1453" i="1"/>
  <c r="M1452" i="1"/>
  <c r="M1451" i="1"/>
  <c r="M1450" i="1"/>
  <c r="M1448" i="1"/>
  <c r="M1447" i="1"/>
  <c r="M1446" i="1"/>
  <c r="M1445" i="1"/>
  <c r="M1444" i="1"/>
  <c r="M1443" i="1"/>
  <c r="M1442" i="1"/>
  <c r="M1441" i="1"/>
  <c r="M1440" i="1"/>
  <c r="M1439"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5" i="1"/>
  <c r="M1034" i="1"/>
  <c r="M1033" i="1"/>
  <c r="M1032" i="1"/>
  <c r="M1031" i="1"/>
  <c r="M1030" i="1"/>
  <c r="M1029" i="1"/>
  <c r="M1028" i="1"/>
  <c r="M1027" i="1"/>
  <c r="M1026" i="1"/>
  <c r="M1025" i="1"/>
  <c r="M1024" i="1"/>
  <c r="M1023" i="1"/>
  <c r="M1022" i="1"/>
  <c r="M1021" i="1"/>
  <c r="M1020" i="1"/>
  <c r="M1019" i="1"/>
  <c r="M1018" i="1"/>
  <c r="M1017" i="1"/>
  <c r="M1016"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697" i="1"/>
  <c r="M696" i="1"/>
  <c r="M695" i="1"/>
  <c r="M693" i="1"/>
  <c r="M692" i="1"/>
  <c r="M691" i="1"/>
  <c r="M690" i="1"/>
  <c r="M689" i="1"/>
  <c r="M688"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3" i="1"/>
  <c r="M602" i="1"/>
  <c r="M601" i="1"/>
  <c r="M599" i="1"/>
  <c r="M598" i="1"/>
  <c r="M597" i="1"/>
  <c r="M596" i="1"/>
  <c r="M595" i="1"/>
  <c r="M594" i="1"/>
  <c r="M593" i="1"/>
  <c r="M592" i="1"/>
  <c r="M591" i="1"/>
  <c r="M590" i="1"/>
  <c r="M589" i="1"/>
  <c r="M588" i="1"/>
  <c r="M587" i="1"/>
  <c r="M586" i="1"/>
  <c r="M585" i="1"/>
  <c r="M584" i="1"/>
  <c r="M583" i="1"/>
  <c r="M582" i="1"/>
  <c r="M581" i="1"/>
  <c r="M580" i="1"/>
  <c r="M579" i="1"/>
  <c r="M577" i="1"/>
  <c r="M576" i="1"/>
  <c r="M575" i="1"/>
  <c r="M572" i="1"/>
  <c r="M571" i="1"/>
  <c r="M570" i="1"/>
  <c r="M569" i="1"/>
  <c r="M568" i="1"/>
  <c r="M567" i="1"/>
  <c r="M566" i="1"/>
  <c r="M565" i="1"/>
  <c r="M564" i="1"/>
  <c r="M563" i="1"/>
  <c r="M562" i="1"/>
  <c r="M561" i="1"/>
  <c r="M560" i="1"/>
  <c r="M559" i="1"/>
  <c r="M558" i="1"/>
  <c r="M557" i="1"/>
  <c r="M556" i="1"/>
  <c r="M554" i="1"/>
  <c r="M553" i="1"/>
  <c r="M552" i="1"/>
  <c r="M551" i="1"/>
  <c r="M550" i="1"/>
  <c r="M549" i="1"/>
  <c r="M548" i="1"/>
  <c r="M547" i="1"/>
  <c r="M546"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5" i="1"/>
  <c r="L1914" i="1"/>
  <c r="L1913" i="1"/>
  <c r="L1912" i="1"/>
  <c r="L1911" i="1"/>
  <c r="L1910" i="1"/>
  <c r="L1909" i="1"/>
  <c r="L1908" i="1"/>
  <c r="L1907" i="1"/>
  <c r="L1906" i="1"/>
  <c r="L1905" i="1"/>
  <c r="L1904" i="1"/>
  <c r="L1903" i="1"/>
  <c r="L1902" i="1"/>
  <c r="L1901" i="1"/>
  <c r="L1900" i="1"/>
  <c r="L1899" i="1"/>
  <c r="L1898" i="1"/>
  <c r="L1648" i="1"/>
  <c r="L1647" i="1"/>
  <c r="L1623" i="1"/>
  <c r="L1622" i="1"/>
  <c r="L1594" i="1"/>
  <c r="L1593" i="1"/>
  <c r="L1592" i="1"/>
  <c r="L1591" i="1"/>
  <c r="L1590" i="1"/>
  <c r="L1576" i="1"/>
  <c r="L1575" i="1"/>
  <c r="L1573" i="1"/>
  <c r="L1572" i="1"/>
  <c r="L1570" i="1"/>
  <c r="L1569" i="1"/>
  <c r="L1567" i="1"/>
  <c r="L1566" i="1"/>
  <c r="L1564" i="1"/>
  <c r="L1563" i="1"/>
  <c r="L1561" i="1"/>
  <c r="L1560" i="1"/>
  <c r="L1558" i="1"/>
  <c r="L1557" i="1"/>
  <c r="L1555" i="1"/>
  <c r="L1554" i="1"/>
  <c r="L1552" i="1"/>
  <c r="L1551" i="1"/>
  <c r="L1549" i="1"/>
  <c r="L1548"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59" i="1"/>
  <c r="L1458" i="1"/>
  <c r="L1457" i="1"/>
  <c r="L1456" i="1"/>
  <c r="L1455" i="1"/>
  <c r="L1454" i="1"/>
  <c r="L1453" i="1"/>
  <c r="L1452" i="1"/>
  <c r="L1451" i="1"/>
  <c r="L1450" i="1"/>
  <c r="L1448" i="1"/>
  <c r="L1447" i="1"/>
  <c r="L1446" i="1"/>
  <c r="L1445" i="1"/>
  <c r="L1444" i="1"/>
  <c r="L1443" i="1"/>
  <c r="L1442" i="1"/>
  <c r="L1441" i="1"/>
  <c r="L1440" i="1"/>
  <c r="L1439"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5" i="1"/>
  <c r="L1034" i="1"/>
  <c r="L1033" i="1"/>
  <c r="L1032" i="1"/>
  <c r="L1031" i="1"/>
  <c r="L1030" i="1"/>
  <c r="L1029" i="1"/>
  <c r="L1028" i="1"/>
  <c r="L1027" i="1"/>
  <c r="L1026" i="1"/>
  <c r="L1025" i="1"/>
  <c r="L1024" i="1"/>
  <c r="L1023" i="1"/>
  <c r="L1022" i="1"/>
  <c r="L1021" i="1"/>
  <c r="L1020" i="1"/>
  <c r="L1019" i="1"/>
  <c r="L1018" i="1"/>
  <c r="L1017" i="1"/>
  <c r="L1016"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697" i="1"/>
  <c r="L696" i="1"/>
  <c r="L695" i="1"/>
  <c r="L693" i="1"/>
  <c r="L692" i="1"/>
  <c r="L691" i="1"/>
  <c r="L690" i="1"/>
  <c r="L689" i="1"/>
  <c r="L688"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3" i="1"/>
  <c r="L602" i="1"/>
  <c r="L601" i="1"/>
  <c r="L599" i="1"/>
  <c r="L598" i="1"/>
  <c r="L597" i="1"/>
  <c r="L596" i="1"/>
  <c r="L595" i="1"/>
  <c r="L594" i="1"/>
  <c r="L593" i="1"/>
  <c r="L592" i="1"/>
  <c r="L591" i="1"/>
  <c r="L590" i="1"/>
  <c r="L589" i="1"/>
  <c r="L588" i="1"/>
  <c r="L587" i="1"/>
  <c r="L586" i="1"/>
  <c r="L585" i="1"/>
  <c r="L584" i="1"/>
  <c r="L583" i="1"/>
  <c r="L582" i="1"/>
  <c r="L581" i="1"/>
  <c r="L580" i="1"/>
  <c r="L579" i="1"/>
  <c r="L577" i="1"/>
  <c r="L576" i="1"/>
  <c r="L575" i="1"/>
  <c r="L572" i="1"/>
  <c r="L571" i="1"/>
  <c r="L570" i="1"/>
  <c r="L569" i="1"/>
  <c r="L568" i="1"/>
  <c r="L567" i="1"/>
  <c r="L566" i="1"/>
  <c r="L565" i="1"/>
  <c r="L564" i="1"/>
  <c r="L563" i="1"/>
  <c r="L562" i="1"/>
  <c r="L561" i="1"/>
  <c r="L560" i="1"/>
  <c r="L559" i="1"/>
  <c r="L558" i="1"/>
  <c r="L557" i="1"/>
  <c r="L556" i="1"/>
  <c r="L554" i="1"/>
  <c r="L553" i="1"/>
  <c r="L552" i="1"/>
  <c r="L551" i="1"/>
  <c r="L550" i="1"/>
  <c r="L549" i="1"/>
  <c r="L548" i="1"/>
  <c r="L547" i="1"/>
  <c r="L546"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5" i="1"/>
  <c r="K1914" i="1"/>
  <c r="K1913" i="1"/>
  <c r="K1912" i="1"/>
  <c r="K1911" i="1"/>
  <c r="K1910" i="1"/>
  <c r="K1909" i="1"/>
  <c r="K1908" i="1"/>
  <c r="K1907" i="1"/>
  <c r="K1906" i="1"/>
  <c r="K1905" i="1"/>
  <c r="K1904" i="1"/>
  <c r="K1903" i="1"/>
  <c r="K1902" i="1"/>
  <c r="K1901" i="1"/>
  <c r="K1900" i="1"/>
  <c r="K1899" i="1"/>
  <c r="K1898" i="1"/>
  <c r="K1648" i="1"/>
  <c r="K1647" i="1"/>
  <c r="K1623" i="1"/>
  <c r="K1622" i="1"/>
  <c r="K1594" i="1"/>
  <c r="K1593" i="1"/>
  <c r="K1592" i="1"/>
  <c r="K1591" i="1"/>
  <c r="K1590" i="1"/>
  <c r="K1576" i="1"/>
  <c r="K1575" i="1"/>
  <c r="K1573" i="1"/>
  <c r="K1572" i="1"/>
  <c r="K1570" i="1"/>
  <c r="K1569" i="1"/>
  <c r="K1567" i="1"/>
  <c r="K1566" i="1"/>
  <c r="K1564" i="1"/>
  <c r="K1563" i="1"/>
  <c r="K1561" i="1"/>
  <c r="K1560" i="1"/>
  <c r="K1558" i="1"/>
  <c r="K1557" i="1"/>
  <c r="K1555" i="1"/>
  <c r="K1554" i="1"/>
  <c r="K1552" i="1"/>
  <c r="K1551" i="1"/>
  <c r="K1549" i="1"/>
  <c r="K1548"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59" i="1"/>
  <c r="K1458" i="1"/>
  <c r="K1457" i="1"/>
  <c r="K1456" i="1"/>
  <c r="K1455" i="1"/>
  <c r="K1454" i="1"/>
  <c r="K1453" i="1"/>
  <c r="K1452" i="1"/>
  <c r="K1451" i="1"/>
  <c r="K1450" i="1"/>
  <c r="K1448" i="1"/>
  <c r="K1447" i="1"/>
  <c r="K1446" i="1"/>
  <c r="K1445" i="1"/>
  <c r="K1444" i="1"/>
  <c r="K1443" i="1"/>
  <c r="K1442" i="1"/>
  <c r="K1441" i="1"/>
  <c r="K1440" i="1"/>
  <c r="K1439"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5" i="1"/>
  <c r="K1034" i="1"/>
  <c r="K1033" i="1"/>
  <c r="K1032" i="1"/>
  <c r="K1031" i="1"/>
  <c r="K1030" i="1"/>
  <c r="K1029" i="1"/>
  <c r="K1028" i="1"/>
  <c r="K1027" i="1"/>
  <c r="K1026" i="1"/>
  <c r="K1025" i="1"/>
  <c r="K1024" i="1"/>
  <c r="K1023" i="1"/>
  <c r="K1022" i="1"/>
  <c r="K1021" i="1"/>
  <c r="K1020" i="1"/>
  <c r="K1019" i="1"/>
  <c r="K1018" i="1"/>
  <c r="K1017" i="1"/>
  <c r="K1016"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697" i="1"/>
  <c r="K696" i="1"/>
  <c r="K695" i="1"/>
  <c r="K693" i="1"/>
  <c r="K692" i="1"/>
  <c r="K691" i="1"/>
  <c r="K690" i="1"/>
  <c r="K689" i="1"/>
  <c r="K688"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3" i="1"/>
  <c r="K602" i="1"/>
  <c r="K601" i="1"/>
  <c r="K599" i="1"/>
  <c r="K598" i="1"/>
  <c r="K597" i="1"/>
  <c r="K596" i="1"/>
  <c r="K595" i="1"/>
  <c r="K594" i="1"/>
  <c r="K593" i="1"/>
  <c r="K592" i="1"/>
  <c r="K591" i="1"/>
  <c r="K590" i="1"/>
  <c r="K589" i="1"/>
  <c r="K588" i="1"/>
  <c r="K587" i="1"/>
  <c r="K586" i="1"/>
  <c r="K585" i="1"/>
  <c r="K584" i="1"/>
  <c r="K583" i="1"/>
  <c r="K582" i="1"/>
  <c r="K581" i="1"/>
  <c r="K580" i="1"/>
  <c r="K579" i="1"/>
  <c r="K577" i="1"/>
  <c r="K576" i="1"/>
  <c r="K575" i="1"/>
  <c r="K572" i="1"/>
  <c r="K571" i="1"/>
  <c r="K570" i="1"/>
  <c r="K569" i="1"/>
  <c r="K568" i="1"/>
  <c r="K567" i="1"/>
  <c r="K566" i="1"/>
  <c r="K565" i="1"/>
  <c r="K564" i="1"/>
  <c r="K563" i="1"/>
  <c r="K562" i="1"/>
  <c r="K561" i="1"/>
  <c r="K560" i="1"/>
  <c r="K559" i="1"/>
  <c r="K558" i="1"/>
  <c r="K557" i="1"/>
  <c r="K556" i="1"/>
  <c r="K554" i="1"/>
  <c r="K553" i="1"/>
  <c r="K552" i="1"/>
  <c r="K551" i="1"/>
  <c r="K550" i="1"/>
  <c r="K549" i="1"/>
  <c r="K548" i="1"/>
  <c r="K547" i="1"/>
  <c r="K546"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5" i="1"/>
  <c r="J1914" i="1"/>
  <c r="J1913" i="1"/>
  <c r="J1912" i="1"/>
  <c r="J1911" i="1"/>
  <c r="J1910" i="1"/>
  <c r="J1909" i="1"/>
  <c r="J1908" i="1"/>
  <c r="J1907" i="1"/>
  <c r="J1906" i="1"/>
  <c r="J1905" i="1"/>
  <c r="J1904" i="1"/>
  <c r="J1903" i="1"/>
  <c r="J1902" i="1"/>
  <c r="J1901" i="1"/>
  <c r="J1900" i="1"/>
  <c r="J1899" i="1"/>
  <c r="J1898" i="1"/>
  <c r="J1648" i="1"/>
  <c r="J1647" i="1"/>
  <c r="J1623" i="1"/>
  <c r="J1622" i="1"/>
  <c r="J1594" i="1"/>
  <c r="J1593" i="1"/>
  <c r="J1592" i="1"/>
  <c r="J1591" i="1"/>
  <c r="J1590" i="1"/>
  <c r="J1576" i="1"/>
  <c r="J1575" i="1"/>
  <c r="J1573" i="1"/>
  <c r="J1572" i="1"/>
  <c r="J1570" i="1"/>
  <c r="J1569" i="1"/>
  <c r="J1567" i="1"/>
  <c r="J1566" i="1"/>
  <c r="J1564" i="1"/>
  <c r="J1563" i="1"/>
  <c r="J1561" i="1"/>
  <c r="J1560" i="1"/>
  <c r="J1558" i="1"/>
  <c r="J1557" i="1"/>
  <c r="J1555" i="1"/>
  <c r="J1554" i="1"/>
  <c r="J1552" i="1"/>
  <c r="J1551" i="1"/>
  <c r="J1549" i="1"/>
  <c r="J1548"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59" i="1"/>
  <c r="J1458" i="1"/>
  <c r="J1457" i="1"/>
  <c r="J1456" i="1"/>
  <c r="J1455" i="1"/>
  <c r="J1454" i="1"/>
  <c r="J1453" i="1"/>
  <c r="J1452" i="1"/>
  <c r="J1451" i="1"/>
  <c r="J1450" i="1"/>
  <c r="J1448" i="1"/>
  <c r="J1447" i="1"/>
  <c r="J1446" i="1"/>
  <c r="J1445" i="1"/>
  <c r="J1444" i="1"/>
  <c r="J1443" i="1"/>
  <c r="J1442" i="1"/>
  <c r="J1441" i="1"/>
  <c r="J1440" i="1"/>
  <c r="J1439"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5" i="1"/>
  <c r="J1034" i="1"/>
  <c r="J1033" i="1"/>
  <c r="J1032" i="1"/>
  <c r="J1031" i="1"/>
  <c r="J1030" i="1"/>
  <c r="J1029" i="1"/>
  <c r="J1028" i="1"/>
  <c r="J1027" i="1"/>
  <c r="J1026" i="1"/>
  <c r="J1025" i="1"/>
  <c r="J1024" i="1"/>
  <c r="J1023" i="1"/>
  <c r="J1022" i="1"/>
  <c r="J1021" i="1"/>
  <c r="J1020" i="1"/>
  <c r="J1019" i="1"/>
  <c r="J1018" i="1"/>
  <c r="J1017" i="1"/>
  <c r="J1016"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697" i="1"/>
  <c r="J696" i="1"/>
  <c r="J695" i="1"/>
  <c r="J693" i="1"/>
  <c r="J692" i="1"/>
  <c r="J691" i="1"/>
  <c r="J690" i="1"/>
  <c r="J689" i="1"/>
  <c r="J688"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3" i="1"/>
  <c r="J602" i="1"/>
  <c r="J601" i="1"/>
  <c r="J599" i="1"/>
  <c r="J598" i="1"/>
  <c r="J597" i="1"/>
  <c r="J596" i="1"/>
  <c r="J595" i="1"/>
  <c r="J594" i="1"/>
  <c r="J593" i="1"/>
  <c r="J592" i="1"/>
  <c r="J591" i="1"/>
  <c r="J590" i="1"/>
  <c r="J589" i="1"/>
  <c r="J588" i="1"/>
  <c r="J587" i="1"/>
  <c r="J586" i="1"/>
  <c r="J585" i="1"/>
  <c r="J584" i="1"/>
  <c r="J583" i="1"/>
  <c r="J582" i="1"/>
  <c r="J581" i="1"/>
  <c r="J580" i="1"/>
  <c r="J579" i="1"/>
  <c r="J577" i="1"/>
  <c r="J576" i="1"/>
  <c r="J575" i="1"/>
  <c r="J572" i="1"/>
  <c r="J571" i="1"/>
  <c r="J570" i="1"/>
  <c r="J569" i="1"/>
  <c r="J568" i="1"/>
  <c r="J567" i="1"/>
  <c r="J566" i="1"/>
  <c r="J565" i="1"/>
  <c r="J564" i="1"/>
  <c r="J563" i="1"/>
  <c r="J562" i="1"/>
  <c r="J561" i="1"/>
  <c r="J560" i="1"/>
  <c r="J559" i="1"/>
  <c r="J558" i="1"/>
  <c r="J557" i="1"/>
  <c r="J556" i="1"/>
  <c r="J554" i="1"/>
  <c r="J553" i="1"/>
  <c r="J552" i="1"/>
  <c r="J551" i="1"/>
  <c r="J550" i="1"/>
  <c r="J549" i="1"/>
  <c r="J548" i="1"/>
  <c r="J547" i="1"/>
  <c r="J546"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5" i="1"/>
  <c r="I1914" i="1"/>
  <c r="I1913" i="1"/>
  <c r="I1912" i="1"/>
  <c r="I1911" i="1"/>
  <c r="I1910" i="1"/>
  <c r="I1909" i="1"/>
  <c r="I1908" i="1"/>
  <c r="I1907" i="1"/>
  <c r="I1906" i="1"/>
  <c r="I1905" i="1"/>
  <c r="I1904" i="1"/>
  <c r="I1903" i="1"/>
  <c r="I1902" i="1"/>
  <c r="I1901" i="1"/>
  <c r="I1900" i="1"/>
  <c r="I1899" i="1"/>
  <c r="I1898" i="1"/>
  <c r="I1648" i="1"/>
  <c r="I1647" i="1"/>
  <c r="I1623" i="1"/>
  <c r="I1622" i="1"/>
  <c r="I1594" i="1"/>
  <c r="I1593" i="1"/>
  <c r="I1592" i="1"/>
  <c r="I1591" i="1"/>
  <c r="I1590" i="1"/>
  <c r="I1576" i="1"/>
  <c r="I1575" i="1"/>
  <c r="I1573" i="1"/>
  <c r="I1572" i="1"/>
  <c r="I1570" i="1"/>
  <c r="I1569" i="1"/>
  <c r="I1567" i="1"/>
  <c r="I1566" i="1"/>
  <c r="I1564" i="1"/>
  <c r="I1563" i="1"/>
  <c r="I1561" i="1"/>
  <c r="I1560" i="1"/>
  <c r="I1558" i="1"/>
  <c r="I1557" i="1"/>
  <c r="I1555" i="1"/>
  <c r="I1554" i="1"/>
  <c r="I1552" i="1"/>
  <c r="I1551" i="1"/>
  <c r="I1549" i="1"/>
  <c r="I1548"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59" i="1"/>
  <c r="I1458" i="1"/>
  <c r="I1457" i="1"/>
  <c r="I1456" i="1"/>
  <c r="I1455" i="1"/>
  <c r="I1454" i="1"/>
  <c r="I1453" i="1"/>
  <c r="I1452" i="1"/>
  <c r="I1451" i="1"/>
  <c r="I1450" i="1"/>
  <c r="I1448" i="1"/>
  <c r="I1447" i="1"/>
  <c r="I1446" i="1"/>
  <c r="I1445" i="1"/>
  <c r="I1444" i="1"/>
  <c r="I1443" i="1"/>
  <c r="I1442" i="1"/>
  <c r="I1441" i="1"/>
  <c r="I1440" i="1"/>
  <c r="I1439"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5" i="1"/>
  <c r="I1034" i="1"/>
  <c r="I1033" i="1"/>
  <c r="I1032" i="1"/>
  <c r="I1031" i="1"/>
  <c r="I1030" i="1"/>
  <c r="I1029" i="1"/>
  <c r="I1028" i="1"/>
  <c r="I1027" i="1"/>
  <c r="I1026" i="1"/>
  <c r="I1025" i="1"/>
  <c r="I1024" i="1"/>
  <c r="I1023" i="1"/>
  <c r="I1022" i="1"/>
  <c r="I1021" i="1"/>
  <c r="I1020" i="1"/>
  <c r="I1019" i="1"/>
  <c r="I1018" i="1"/>
  <c r="I1017" i="1"/>
  <c r="I1016"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697" i="1"/>
  <c r="I696" i="1"/>
  <c r="I695" i="1"/>
  <c r="I693" i="1"/>
  <c r="I692" i="1"/>
  <c r="I691" i="1"/>
  <c r="I690" i="1"/>
  <c r="I689" i="1"/>
  <c r="I688"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3" i="1"/>
  <c r="I602" i="1"/>
  <c r="I601" i="1"/>
  <c r="I599" i="1"/>
  <c r="I598" i="1"/>
  <c r="I597" i="1"/>
  <c r="I596" i="1"/>
  <c r="I595" i="1"/>
  <c r="I594" i="1"/>
  <c r="I593" i="1"/>
  <c r="I592" i="1"/>
  <c r="I591" i="1"/>
  <c r="I590" i="1"/>
  <c r="I589" i="1"/>
  <c r="I588" i="1"/>
  <c r="I587" i="1"/>
  <c r="I586" i="1"/>
  <c r="I585" i="1"/>
  <c r="I584" i="1"/>
  <c r="I583" i="1"/>
  <c r="I582" i="1"/>
  <c r="I581" i="1"/>
  <c r="I580" i="1"/>
  <c r="I579" i="1"/>
  <c r="I577" i="1"/>
  <c r="I576" i="1"/>
  <c r="I575" i="1"/>
  <c r="I572" i="1"/>
  <c r="I571" i="1"/>
  <c r="I570" i="1"/>
  <c r="I569" i="1"/>
  <c r="I568" i="1"/>
  <c r="I567" i="1"/>
  <c r="I566" i="1"/>
  <c r="I565" i="1"/>
  <c r="I564" i="1"/>
  <c r="I563" i="1"/>
  <c r="I562" i="1"/>
  <c r="I561" i="1"/>
  <c r="I560" i="1"/>
  <c r="I559" i="1"/>
  <c r="I558" i="1"/>
  <c r="I557" i="1"/>
  <c r="I556" i="1"/>
  <c r="I554" i="1"/>
  <c r="I553" i="1"/>
  <c r="I552" i="1"/>
  <c r="I551" i="1"/>
  <c r="I550" i="1"/>
  <c r="I549" i="1"/>
  <c r="I548" i="1"/>
  <c r="I547" i="1"/>
  <c r="I546"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5" i="1"/>
  <c r="H1914" i="1"/>
  <c r="H1913" i="1"/>
  <c r="H1912" i="1"/>
  <c r="H1911" i="1"/>
  <c r="H1910" i="1"/>
  <c r="H1909" i="1"/>
  <c r="H1908" i="1"/>
  <c r="H1907" i="1"/>
  <c r="H1906" i="1"/>
  <c r="H1905" i="1"/>
  <c r="H1904" i="1"/>
  <c r="H1903" i="1"/>
  <c r="H1902" i="1"/>
  <c r="H1901" i="1"/>
  <c r="H1900" i="1"/>
  <c r="H1899" i="1"/>
  <c r="H1898" i="1"/>
  <c r="H1648" i="1"/>
  <c r="H1647" i="1"/>
  <c r="H1623" i="1"/>
  <c r="H1622" i="1"/>
  <c r="H1594" i="1"/>
  <c r="H1593" i="1"/>
  <c r="H1592" i="1"/>
  <c r="H1591" i="1"/>
  <c r="H1590" i="1"/>
  <c r="H1576" i="1"/>
  <c r="H1575" i="1"/>
  <c r="H1573" i="1"/>
  <c r="H1572" i="1"/>
  <c r="H1570" i="1"/>
  <c r="H1569" i="1"/>
  <c r="H1567" i="1"/>
  <c r="H1566" i="1"/>
  <c r="H1564" i="1"/>
  <c r="H1563" i="1"/>
  <c r="H1561" i="1"/>
  <c r="H1560" i="1"/>
  <c r="H1558" i="1"/>
  <c r="H1557" i="1"/>
  <c r="H1555" i="1"/>
  <c r="H1554" i="1"/>
  <c r="H1552" i="1"/>
  <c r="H1551" i="1"/>
  <c r="H1549" i="1"/>
  <c r="H1548"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59" i="1"/>
  <c r="H1458" i="1"/>
  <c r="H1457" i="1"/>
  <c r="H1456" i="1"/>
  <c r="H1455" i="1"/>
  <c r="H1454" i="1"/>
  <c r="H1453" i="1"/>
  <c r="H1452" i="1"/>
  <c r="H1451" i="1"/>
  <c r="H1450" i="1"/>
  <c r="H1448" i="1"/>
  <c r="H1447" i="1"/>
  <c r="H1446" i="1"/>
  <c r="H1445" i="1"/>
  <c r="H1444" i="1"/>
  <c r="H1443" i="1"/>
  <c r="H1442" i="1"/>
  <c r="H1441" i="1"/>
  <c r="H1440" i="1"/>
  <c r="H1439"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5" i="1"/>
  <c r="H1034" i="1"/>
  <c r="H1033" i="1"/>
  <c r="H1032" i="1"/>
  <c r="H1031" i="1"/>
  <c r="H1030" i="1"/>
  <c r="H1029" i="1"/>
  <c r="H1028" i="1"/>
  <c r="H1027" i="1"/>
  <c r="H1026" i="1"/>
  <c r="H1025" i="1"/>
  <c r="H1024" i="1"/>
  <c r="H1023" i="1"/>
  <c r="H1022" i="1"/>
  <c r="H1021" i="1"/>
  <c r="H1020" i="1"/>
  <c r="H1019" i="1"/>
  <c r="H1018" i="1"/>
  <c r="H1017" i="1"/>
  <c r="H1016"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697" i="1"/>
  <c r="H696" i="1"/>
  <c r="H695" i="1"/>
  <c r="H693" i="1"/>
  <c r="H692" i="1"/>
  <c r="H691" i="1"/>
  <c r="H690" i="1"/>
  <c r="H689" i="1"/>
  <c r="H688"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3" i="1"/>
  <c r="H602" i="1"/>
  <c r="H601" i="1"/>
  <c r="H599" i="1"/>
  <c r="H598" i="1"/>
  <c r="H597" i="1"/>
  <c r="H596" i="1"/>
  <c r="H595" i="1"/>
  <c r="H594" i="1"/>
  <c r="H593" i="1"/>
  <c r="H592" i="1"/>
  <c r="H591" i="1"/>
  <c r="H590" i="1"/>
  <c r="H589" i="1"/>
  <c r="H588" i="1"/>
  <c r="H587" i="1"/>
  <c r="H586" i="1"/>
  <c r="H585" i="1"/>
  <c r="H584" i="1"/>
  <c r="H583" i="1"/>
  <c r="H582" i="1"/>
  <c r="H581" i="1"/>
  <c r="H580" i="1"/>
  <c r="H579" i="1"/>
  <c r="H577" i="1"/>
  <c r="H576" i="1"/>
  <c r="H575" i="1"/>
  <c r="H572" i="1"/>
  <c r="H571" i="1"/>
  <c r="H570" i="1"/>
  <c r="H569" i="1"/>
  <c r="H568" i="1"/>
  <c r="H567" i="1"/>
  <c r="H566" i="1"/>
  <c r="H565" i="1"/>
  <c r="H564" i="1"/>
  <c r="H563" i="1"/>
  <c r="H562" i="1"/>
  <c r="H561" i="1"/>
  <c r="H560" i="1"/>
  <c r="H559" i="1"/>
  <c r="H558" i="1"/>
  <c r="H557" i="1"/>
  <c r="H556" i="1"/>
  <c r="H554" i="1"/>
  <c r="H553" i="1"/>
  <c r="H552" i="1"/>
  <c r="H551" i="1"/>
  <c r="H550" i="1"/>
  <c r="H549" i="1"/>
  <c r="H548" i="1"/>
  <c r="H547" i="1"/>
  <c r="H546"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5" i="1"/>
  <c r="G1914" i="1"/>
  <c r="G1913" i="1"/>
  <c r="G1912" i="1"/>
  <c r="G1911" i="1"/>
  <c r="G1910" i="1"/>
  <c r="G1909" i="1"/>
  <c r="G1908" i="1"/>
  <c r="G1907" i="1"/>
  <c r="G1906" i="1"/>
  <c r="G1905" i="1"/>
  <c r="G1904" i="1"/>
  <c r="G1903" i="1"/>
  <c r="G1902" i="1"/>
  <c r="G1901" i="1"/>
  <c r="G1900" i="1"/>
  <c r="G1899" i="1"/>
  <c r="G1898" i="1"/>
  <c r="G1648" i="1"/>
  <c r="G1647" i="1"/>
  <c r="G1623" i="1"/>
  <c r="G1622" i="1"/>
  <c r="G1594" i="1"/>
  <c r="G1593" i="1"/>
  <c r="G1592" i="1"/>
  <c r="G1591" i="1"/>
  <c r="G1590" i="1"/>
  <c r="G1576" i="1"/>
  <c r="G1575" i="1"/>
  <c r="G1573" i="1"/>
  <c r="G1572" i="1"/>
  <c r="G1570" i="1"/>
  <c r="G1569" i="1"/>
  <c r="G1567" i="1"/>
  <c r="G1566" i="1"/>
  <c r="G1564" i="1"/>
  <c r="G1563" i="1"/>
  <c r="G1561" i="1"/>
  <c r="G1560" i="1"/>
  <c r="G1558" i="1"/>
  <c r="G1557" i="1"/>
  <c r="G1555" i="1"/>
  <c r="G1554" i="1"/>
  <c r="G1552" i="1"/>
  <c r="G1551" i="1"/>
  <c r="G1549" i="1"/>
  <c r="G1548"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59" i="1"/>
  <c r="G1458" i="1"/>
  <c r="G1457" i="1"/>
  <c r="G1456" i="1"/>
  <c r="G1455" i="1"/>
  <c r="G1454" i="1"/>
  <c r="G1453" i="1"/>
  <c r="G1452" i="1"/>
  <c r="G1451" i="1"/>
  <c r="G1450" i="1"/>
  <c r="G1448" i="1"/>
  <c r="G1447" i="1"/>
  <c r="G1446" i="1"/>
  <c r="G1445" i="1"/>
  <c r="G1444" i="1"/>
  <c r="G1443" i="1"/>
  <c r="G1442" i="1"/>
  <c r="G1441" i="1"/>
  <c r="G1440" i="1"/>
  <c r="G1439"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5" i="1"/>
  <c r="G1034" i="1"/>
  <c r="G1033" i="1"/>
  <c r="G1032" i="1"/>
  <c r="G1031" i="1"/>
  <c r="G1030" i="1"/>
  <c r="G1029" i="1"/>
  <c r="G1028" i="1"/>
  <c r="G1027" i="1"/>
  <c r="G1026" i="1"/>
  <c r="G1025" i="1"/>
  <c r="G1024" i="1"/>
  <c r="G1023" i="1"/>
  <c r="G1022" i="1"/>
  <c r="G1021" i="1"/>
  <c r="G1020" i="1"/>
  <c r="G1019" i="1"/>
  <c r="G1018" i="1"/>
  <c r="G1017" i="1"/>
  <c r="G1016"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697" i="1"/>
  <c r="G696" i="1"/>
  <c r="G695" i="1"/>
  <c r="G693" i="1"/>
  <c r="G692" i="1"/>
  <c r="G691" i="1"/>
  <c r="G690" i="1"/>
  <c r="G689" i="1"/>
  <c r="G688"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3" i="1"/>
  <c r="G602" i="1"/>
  <c r="G601" i="1"/>
  <c r="G599" i="1"/>
  <c r="G598" i="1"/>
  <c r="G597" i="1"/>
  <c r="G596" i="1"/>
  <c r="G595" i="1"/>
  <c r="G594" i="1"/>
  <c r="G593" i="1"/>
  <c r="G592" i="1"/>
  <c r="G591" i="1"/>
  <c r="G590" i="1"/>
  <c r="G589" i="1"/>
  <c r="G588" i="1"/>
  <c r="G587" i="1"/>
  <c r="G586" i="1"/>
  <c r="G585" i="1"/>
  <c r="G584" i="1"/>
  <c r="G583" i="1"/>
  <c r="G582" i="1"/>
  <c r="G581" i="1"/>
  <c r="G580" i="1"/>
  <c r="G579" i="1"/>
  <c r="G577" i="1"/>
  <c r="G576" i="1"/>
  <c r="G575" i="1"/>
  <c r="G572" i="1"/>
  <c r="G571" i="1"/>
  <c r="G570" i="1"/>
  <c r="G569" i="1"/>
  <c r="G568" i="1"/>
  <c r="G567" i="1"/>
  <c r="G566" i="1"/>
  <c r="G565" i="1"/>
  <c r="G564" i="1"/>
  <c r="G563" i="1"/>
  <c r="G562" i="1"/>
  <c r="G561" i="1"/>
  <c r="G560" i="1"/>
  <c r="G559" i="1"/>
  <c r="G558" i="1"/>
  <c r="G557" i="1"/>
  <c r="G556" i="1"/>
  <c r="G554" i="1"/>
  <c r="G553" i="1"/>
  <c r="G552" i="1"/>
  <c r="G551" i="1"/>
  <c r="G550" i="1"/>
  <c r="G549" i="1"/>
  <c r="G548" i="1"/>
  <c r="G547" i="1"/>
  <c r="G546"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5" i="1"/>
  <c r="F1914" i="1"/>
  <c r="F1913" i="1"/>
  <c r="F1912" i="1"/>
  <c r="F1911" i="1"/>
  <c r="F1910" i="1"/>
  <c r="F1909" i="1"/>
  <c r="F1908" i="1"/>
  <c r="F1907" i="1"/>
  <c r="F1906" i="1"/>
  <c r="F1905" i="1"/>
  <c r="F1904" i="1"/>
  <c r="F1903" i="1"/>
  <c r="F1902" i="1"/>
  <c r="F1901" i="1"/>
  <c r="F1900" i="1"/>
  <c r="F1899" i="1"/>
  <c r="F1898" i="1"/>
  <c r="F1648" i="1"/>
  <c r="F1647" i="1"/>
  <c r="F1623" i="1"/>
  <c r="F1622" i="1"/>
  <c r="F1594" i="1"/>
  <c r="F1593" i="1"/>
  <c r="F1592" i="1"/>
  <c r="F1591" i="1"/>
  <c r="F1590" i="1"/>
  <c r="F1576" i="1"/>
  <c r="F1575" i="1"/>
  <c r="F1573" i="1"/>
  <c r="F1572" i="1"/>
  <c r="F1570" i="1"/>
  <c r="F1569" i="1"/>
  <c r="F1567" i="1"/>
  <c r="F1566" i="1"/>
  <c r="F1564" i="1"/>
  <c r="F1563" i="1"/>
  <c r="F1561" i="1"/>
  <c r="F1560" i="1"/>
  <c r="F1558" i="1"/>
  <c r="F1557" i="1"/>
  <c r="F1555" i="1"/>
  <c r="F1554" i="1"/>
  <c r="F1552" i="1"/>
  <c r="F1551" i="1"/>
  <c r="F1549" i="1"/>
  <c r="F1548"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59" i="1"/>
  <c r="F1458" i="1"/>
  <c r="F1457" i="1"/>
  <c r="F1456" i="1"/>
  <c r="F1455" i="1"/>
  <c r="F1454" i="1"/>
  <c r="F1453" i="1"/>
  <c r="F1452" i="1"/>
  <c r="F1451" i="1"/>
  <c r="F1450" i="1"/>
  <c r="F1448" i="1"/>
  <c r="F1447" i="1"/>
  <c r="F1446" i="1"/>
  <c r="F1445" i="1"/>
  <c r="F1444" i="1"/>
  <c r="F1443" i="1"/>
  <c r="F1442" i="1"/>
  <c r="F1441" i="1"/>
  <c r="F1440" i="1"/>
  <c r="F1439"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5" i="1"/>
  <c r="F1034" i="1"/>
  <c r="F1033" i="1"/>
  <c r="F1032" i="1"/>
  <c r="F1031" i="1"/>
  <c r="F1030" i="1"/>
  <c r="F1029" i="1"/>
  <c r="F1028" i="1"/>
  <c r="F1027" i="1"/>
  <c r="F1026" i="1"/>
  <c r="F1025" i="1"/>
  <c r="F1024" i="1"/>
  <c r="F1023" i="1"/>
  <c r="F1022" i="1"/>
  <c r="F1021" i="1"/>
  <c r="F1020" i="1"/>
  <c r="F1019" i="1"/>
  <c r="F1018" i="1"/>
  <c r="F1017" i="1"/>
  <c r="F1016"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697" i="1"/>
  <c r="F696" i="1"/>
  <c r="F695" i="1"/>
  <c r="F693" i="1"/>
  <c r="F692" i="1"/>
  <c r="F691" i="1"/>
  <c r="F690" i="1"/>
  <c r="F689" i="1"/>
  <c r="F688"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3" i="1"/>
  <c r="F602" i="1"/>
  <c r="F601" i="1"/>
  <c r="F599" i="1"/>
  <c r="F598" i="1"/>
  <c r="F597" i="1"/>
  <c r="F596" i="1"/>
  <c r="F595" i="1"/>
  <c r="F594" i="1"/>
  <c r="F593" i="1"/>
  <c r="F592" i="1"/>
  <c r="F591" i="1"/>
  <c r="F590" i="1"/>
  <c r="F589" i="1"/>
  <c r="F588" i="1"/>
  <c r="F587" i="1"/>
  <c r="F586" i="1"/>
  <c r="F585" i="1"/>
  <c r="F584" i="1"/>
  <c r="F583" i="1"/>
  <c r="F582" i="1"/>
  <c r="F581" i="1"/>
  <c r="F580" i="1"/>
  <c r="F579" i="1"/>
  <c r="F577" i="1"/>
  <c r="F576" i="1"/>
  <c r="F575" i="1"/>
  <c r="F572" i="1"/>
  <c r="F571" i="1"/>
  <c r="F570" i="1"/>
  <c r="F569" i="1"/>
  <c r="F568" i="1"/>
  <c r="F567" i="1"/>
  <c r="F566" i="1"/>
  <c r="F565" i="1"/>
  <c r="F564" i="1"/>
  <c r="F563" i="1"/>
  <c r="F562" i="1"/>
  <c r="F561" i="1"/>
  <c r="F560" i="1"/>
  <c r="F559" i="1"/>
  <c r="F558" i="1"/>
  <c r="F557" i="1"/>
  <c r="F556" i="1"/>
  <c r="F554" i="1"/>
  <c r="F553" i="1"/>
  <c r="F552" i="1"/>
  <c r="F551" i="1"/>
  <c r="F550" i="1"/>
  <c r="F549" i="1"/>
  <c r="F548" i="1"/>
  <c r="F547" i="1"/>
  <c r="F546"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5" i="1"/>
  <c r="E1914" i="1"/>
  <c r="E1913" i="1"/>
  <c r="E1912" i="1"/>
  <c r="E1911" i="1"/>
  <c r="E1910" i="1"/>
  <c r="E1909" i="1"/>
  <c r="E1908" i="1"/>
  <c r="E1907" i="1"/>
  <c r="E1906" i="1"/>
  <c r="E1905" i="1"/>
  <c r="E1904" i="1"/>
  <c r="E1903" i="1"/>
  <c r="E1902" i="1"/>
  <c r="E1901" i="1"/>
  <c r="E1900" i="1"/>
  <c r="E1899" i="1"/>
  <c r="E1898" i="1"/>
  <c r="E1648" i="1"/>
  <c r="E1647" i="1"/>
  <c r="E1623" i="1"/>
  <c r="E1622" i="1"/>
  <c r="E1594" i="1"/>
  <c r="E1593" i="1"/>
  <c r="E1592" i="1"/>
  <c r="E1591" i="1"/>
  <c r="E1590" i="1"/>
  <c r="E1576" i="1"/>
  <c r="E1575" i="1"/>
  <c r="E1573" i="1"/>
  <c r="E1572" i="1"/>
  <c r="E1570" i="1"/>
  <c r="E1569" i="1"/>
  <c r="E1567" i="1"/>
  <c r="E1566" i="1"/>
  <c r="E1564" i="1"/>
  <c r="E1563" i="1"/>
  <c r="E1561" i="1"/>
  <c r="E1560" i="1"/>
  <c r="E1558" i="1"/>
  <c r="E1557" i="1"/>
  <c r="E1555" i="1"/>
  <c r="E1554" i="1"/>
  <c r="E1552" i="1"/>
  <c r="E1551" i="1"/>
  <c r="E1549" i="1"/>
  <c r="E1548"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59" i="1"/>
  <c r="E1458" i="1"/>
  <c r="E1457" i="1"/>
  <c r="E1456" i="1"/>
  <c r="E1455" i="1"/>
  <c r="E1454" i="1"/>
  <c r="E1453" i="1"/>
  <c r="E1452" i="1"/>
  <c r="E1451" i="1"/>
  <c r="E1450" i="1"/>
  <c r="E1448" i="1"/>
  <c r="E1447" i="1"/>
  <c r="E1446" i="1"/>
  <c r="E1445" i="1"/>
  <c r="E1444" i="1"/>
  <c r="E1443" i="1"/>
  <c r="E1442" i="1"/>
  <c r="E1441" i="1"/>
  <c r="E1440" i="1"/>
  <c r="E1439"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5" i="1"/>
  <c r="E1034" i="1"/>
  <c r="E1033" i="1"/>
  <c r="E1032" i="1"/>
  <c r="E1031" i="1"/>
  <c r="E1030" i="1"/>
  <c r="E1029" i="1"/>
  <c r="E1028" i="1"/>
  <c r="E1027" i="1"/>
  <c r="E1026" i="1"/>
  <c r="E1025" i="1"/>
  <c r="E1024" i="1"/>
  <c r="E1023" i="1"/>
  <c r="E1022" i="1"/>
  <c r="E1021" i="1"/>
  <c r="E1020" i="1"/>
  <c r="E1019" i="1"/>
  <c r="E1018" i="1"/>
  <c r="E1017" i="1"/>
  <c r="E1016"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697" i="1"/>
  <c r="E696" i="1"/>
  <c r="E695" i="1"/>
  <c r="E693" i="1"/>
  <c r="E692" i="1"/>
  <c r="E691" i="1"/>
  <c r="E690" i="1"/>
  <c r="E689" i="1"/>
  <c r="E688"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3" i="1"/>
  <c r="E602" i="1"/>
  <c r="E601" i="1"/>
  <c r="E599" i="1"/>
  <c r="E598" i="1"/>
  <c r="E597" i="1"/>
  <c r="E596" i="1"/>
  <c r="E595" i="1"/>
  <c r="E594" i="1"/>
  <c r="E593" i="1"/>
  <c r="E592" i="1"/>
  <c r="E591" i="1"/>
  <c r="E590" i="1"/>
  <c r="E589" i="1"/>
  <c r="E588" i="1"/>
  <c r="E587" i="1"/>
  <c r="E586" i="1"/>
  <c r="E585" i="1"/>
  <c r="E584" i="1"/>
  <c r="E583" i="1"/>
  <c r="E582" i="1"/>
  <c r="E581" i="1"/>
  <c r="E580" i="1"/>
  <c r="E579" i="1"/>
  <c r="E577" i="1"/>
  <c r="E576" i="1"/>
  <c r="E575" i="1"/>
  <c r="E572" i="1"/>
  <c r="E571" i="1"/>
  <c r="E570" i="1"/>
  <c r="E569" i="1"/>
  <c r="E568" i="1"/>
  <c r="E567" i="1"/>
  <c r="E566" i="1"/>
  <c r="E565" i="1"/>
  <c r="E564" i="1"/>
  <c r="E563" i="1"/>
  <c r="E562" i="1"/>
  <c r="E561" i="1"/>
  <c r="E560" i="1"/>
  <c r="E559" i="1"/>
  <c r="E558" i="1"/>
  <c r="E557" i="1"/>
  <c r="E556" i="1"/>
  <c r="E554" i="1"/>
  <c r="E553" i="1"/>
  <c r="E552" i="1"/>
  <c r="E551" i="1"/>
  <c r="E550" i="1"/>
  <c r="E549" i="1"/>
  <c r="E548" i="1"/>
  <c r="E547" i="1"/>
  <c r="E546"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5" i="1"/>
  <c r="D1914" i="1"/>
  <c r="D1913" i="1"/>
  <c r="D1912" i="1"/>
  <c r="D1911" i="1"/>
  <c r="D1910" i="1"/>
  <c r="D1909" i="1"/>
  <c r="D1908" i="1"/>
  <c r="D1907" i="1"/>
  <c r="D1906" i="1"/>
  <c r="D1905" i="1"/>
  <c r="D1904" i="1"/>
  <c r="D1903" i="1"/>
  <c r="D1902" i="1"/>
  <c r="D1901" i="1"/>
  <c r="D1900" i="1"/>
  <c r="D1899" i="1"/>
  <c r="D1898" i="1"/>
  <c r="D1648" i="1"/>
  <c r="D1647" i="1"/>
  <c r="D1623" i="1"/>
  <c r="D1622" i="1"/>
  <c r="D1594" i="1"/>
  <c r="D1593" i="1"/>
  <c r="D1592" i="1"/>
  <c r="D1591" i="1"/>
  <c r="D1590" i="1"/>
  <c r="D1576" i="1"/>
  <c r="D1575" i="1"/>
  <c r="D1573" i="1"/>
  <c r="D1572" i="1"/>
  <c r="D1570" i="1"/>
  <c r="D1569" i="1"/>
  <c r="D1567" i="1"/>
  <c r="D1566" i="1"/>
  <c r="D1564" i="1"/>
  <c r="D1563" i="1"/>
  <c r="D1561" i="1"/>
  <c r="D1560" i="1"/>
  <c r="D1558" i="1"/>
  <c r="D1557" i="1"/>
  <c r="D1555" i="1"/>
  <c r="D1554" i="1"/>
  <c r="D1552" i="1"/>
  <c r="D1551" i="1"/>
  <c r="D1549" i="1"/>
  <c r="D1548"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59" i="1"/>
  <c r="D1458" i="1"/>
  <c r="D1457" i="1"/>
  <c r="D1456" i="1"/>
  <c r="D1455" i="1"/>
  <c r="D1454" i="1"/>
  <c r="D1453" i="1"/>
  <c r="D1452" i="1"/>
  <c r="D1451" i="1"/>
  <c r="D1450" i="1"/>
  <c r="D1448" i="1"/>
  <c r="D1447" i="1"/>
  <c r="D1446" i="1"/>
  <c r="D1445" i="1"/>
  <c r="D1444" i="1"/>
  <c r="D1443" i="1"/>
  <c r="D1442" i="1"/>
  <c r="D1441" i="1"/>
  <c r="D1440" i="1"/>
  <c r="D1439"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5" i="1"/>
  <c r="D1034" i="1"/>
  <c r="D1033" i="1"/>
  <c r="D1032" i="1"/>
  <c r="D1031" i="1"/>
  <c r="D1030" i="1"/>
  <c r="D1029" i="1"/>
  <c r="D1028" i="1"/>
  <c r="D1027" i="1"/>
  <c r="D1026" i="1"/>
  <c r="D1025" i="1"/>
  <c r="D1024" i="1"/>
  <c r="D1023" i="1"/>
  <c r="D1022" i="1"/>
  <c r="D1021" i="1"/>
  <c r="D1020" i="1"/>
  <c r="D1019" i="1"/>
  <c r="D1018" i="1"/>
  <c r="D1017" i="1"/>
  <c r="D1016"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697" i="1"/>
  <c r="D696" i="1"/>
  <c r="D695" i="1"/>
  <c r="D693" i="1"/>
  <c r="D692" i="1"/>
  <c r="D691" i="1"/>
  <c r="D690" i="1"/>
  <c r="D689" i="1"/>
  <c r="D688"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3" i="1"/>
  <c r="D602" i="1"/>
  <c r="D601" i="1"/>
  <c r="D599" i="1"/>
  <c r="D598" i="1"/>
  <c r="D597" i="1"/>
  <c r="D596" i="1"/>
  <c r="D595" i="1"/>
  <c r="D594" i="1"/>
  <c r="D593" i="1"/>
  <c r="D592" i="1"/>
  <c r="D591" i="1"/>
  <c r="D590" i="1"/>
  <c r="D589" i="1"/>
  <c r="D588" i="1"/>
  <c r="D587" i="1"/>
  <c r="D586" i="1"/>
  <c r="D585" i="1"/>
  <c r="D584" i="1"/>
  <c r="D583" i="1"/>
  <c r="D582" i="1"/>
  <c r="D581" i="1"/>
  <c r="D580" i="1"/>
  <c r="D579" i="1"/>
  <c r="D577" i="1"/>
  <c r="D576" i="1"/>
  <c r="D575" i="1"/>
  <c r="D572" i="1"/>
  <c r="D571" i="1"/>
  <c r="D570" i="1"/>
  <c r="D569" i="1"/>
  <c r="D568" i="1"/>
  <c r="D567" i="1"/>
  <c r="D566" i="1"/>
  <c r="D565" i="1"/>
  <c r="D564" i="1"/>
  <c r="D563" i="1"/>
  <c r="D562" i="1"/>
  <c r="D561" i="1"/>
  <c r="D560" i="1"/>
  <c r="D559" i="1"/>
  <c r="D558" i="1"/>
  <c r="D557" i="1"/>
  <c r="D556" i="1"/>
  <c r="D554" i="1"/>
  <c r="D553" i="1"/>
  <c r="D552" i="1"/>
  <c r="D551" i="1"/>
  <c r="D550" i="1"/>
  <c r="D549" i="1"/>
  <c r="D548" i="1"/>
  <c r="D547" i="1"/>
  <c r="D546"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C3274" i="1"/>
  <c r="C3271" i="1"/>
  <c r="C3268" i="1"/>
  <c r="C3265" i="1"/>
  <c r="C3262"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2" i="1"/>
  <c r="C2291" i="1"/>
  <c r="C2290" i="1"/>
  <c r="C2288" i="1"/>
  <c r="C2287" i="1"/>
  <c r="C2289" i="1"/>
  <c r="C2286" i="1"/>
  <c r="C2285" i="1"/>
  <c r="C354" i="1"/>
  <c r="C356" i="1"/>
  <c r="C358" i="1"/>
  <c r="C360" i="1"/>
  <c r="C362" i="1"/>
  <c r="C364" i="1"/>
  <c r="C366" i="1"/>
  <c r="C368" i="1"/>
  <c r="C370" i="1"/>
  <c r="C372" i="1"/>
  <c r="C374" i="1"/>
  <c r="C376" i="1"/>
  <c r="C378" i="1"/>
  <c r="C380" i="1"/>
  <c r="C382" i="1"/>
  <c r="C384" i="1"/>
  <c r="C352" i="1"/>
  <c r="C350" i="1"/>
  <c r="C348" i="1"/>
  <c r="C346" i="1"/>
  <c r="C344" i="1"/>
  <c r="C342" i="1"/>
  <c r="C340" i="1"/>
  <c r="C338" i="1"/>
  <c r="C336" i="1"/>
  <c r="C334" i="1"/>
  <c r="C332" i="1"/>
  <c r="C330" i="1"/>
  <c r="C329" i="1"/>
  <c r="C328" i="1"/>
  <c r="C326" i="1"/>
  <c r="C324" i="1"/>
  <c r="C322" i="1"/>
  <c r="C2731" i="1"/>
  <c r="C2730" i="1"/>
  <c r="C2729" i="1"/>
  <c r="C2727" i="1"/>
  <c r="C2726" i="1"/>
  <c r="C2725" i="1"/>
  <c r="C2723" i="1"/>
  <c r="C2722" i="1"/>
  <c r="C2721" i="1"/>
  <c r="C2719" i="1"/>
  <c r="C2718" i="1"/>
  <c r="C2717" i="1"/>
  <c r="C2715" i="1"/>
  <c r="C2714" i="1"/>
  <c r="C2713" i="1"/>
  <c r="C2711" i="1"/>
  <c r="C2710" i="1"/>
  <c r="C2709" i="1"/>
  <c r="C2707" i="1"/>
  <c r="C2706" i="1"/>
  <c r="C2705" i="1"/>
  <c r="C2703" i="1"/>
  <c r="C2702" i="1"/>
  <c r="C2701" i="1"/>
  <c r="C2699" i="1"/>
  <c r="C2698" i="1"/>
  <c r="C2697" i="1"/>
  <c r="C2695" i="1"/>
  <c r="C2694" i="1"/>
  <c r="C2693" i="1"/>
  <c r="C2691" i="1"/>
  <c r="C2690" i="1"/>
  <c r="C2689" i="1"/>
  <c r="C2685" i="1"/>
  <c r="C2684" i="1"/>
  <c r="C2683" i="1"/>
  <c r="C2677" i="1"/>
  <c r="C2676" i="1"/>
  <c r="C2675" i="1"/>
  <c r="C2673" i="1"/>
  <c r="C2672" i="1"/>
  <c r="C2671" i="1"/>
  <c r="C2669" i="1"/>
  <c r="C2668" i="1"/>
  <c r="C2667" i="1"/>
  <c r="C2665" i="1"/>
  <c r="C2664" i="1"/>
  <c r="C2663" i="1"/>
  <c r="C2661" i="1"/>
  <c r="C2660" i="1"/>
  <c r="C2659" i="1"/>
  <c r="C2657" i="1"/>
  <c r="C2656" i="1"/>
  <c r="C2655" i="1"/>
  <c r="C2681" i="1"/>
  <c r="C2680" i="1"/>
  <c r="C2679" i="1"/>
  <c r="C3275" i="1"/>
  <c r="C3272" i="1"/>
  <c r="C3269" i="1"/>
  <c r="C3266" i="1"/>
  <c r="C3263" i="1"/>
  <c r="C3349" i="1"/>
  <c r="C3348" i="1"/>
  <c r="C3347" i="1"/>
  <c r="C3346" i="1"/>
  <c r="C3345" i="1"/>
  <c r="C3344" i="1"/>
  <c r="C3343" i="1"/>
  <c r="C3342" i="1"/>
  <c r="C3341" i="1"/>
  <c r="C385" i="1"/>
  <c r="C383" i="1"/>
  <c r="C381" i="1"/>
  <c r="C379" i="1"/>
  <c r="C377" i="1"/>
  <c r="C375" i="1"/>
  <c r="C373" i="1"/>
  <c r="C371" i="1"/>
  <c r="C369" i="1"/>
  <c r="C367" i="1"/>
  <c r="C365" i="1"/>
  <c r="C363" i="1"/>
  <c r="C361" i="1"/>
  <c r="C359" i="1"/>
  <c r="C357" i="1"/>
  <c r="C355" i="1"/>
  <c r="C345" i="1"/>
  <c r="C347" i="1"/>
  <c r="C349" i="1"/>
  <c r="C351" i="1"/>
  <c r="C353" i="1"/>
  <c r="C343" i="1"/>
  <c r="C341" i="1"/>
  <c r="C339" i="1"/>
  <c r="C337" i="1"/>
  <c r="C335" i="1"/>
  <c r="C333" i="1"/>
  <c r="C331" i="1"/>
  <c r="C327" i="1"/>
  <c r="C325" i="1"/>
  <c r="C323" i="1"/>
  <c r="C2233" i="1"/>
  <c r="C2232" i="1"/>
  <c r="C2231" i="1"/>
  <c r="C2230" i="1"/>
  <c r="C2229" i="1"/>
  <c r="C3276" i="1"/>
  <c r="C3273" i="1"/>
  <c r="C3270" i="1"/>
  <c r="C3267" i="1"/>
  <c r="C3264" i="1"/>
  <c r="C1647" i="1"/>
  <c r="C1648" i="1"/>
  <c r="F4" i="7"/>
  <c r="F5" i="7"/>
  <c r="F6" i="7"/>
  <c r="F7" i="7"/>
  <c r="F8" i="7"/>
  <c r="F9" i="7"/>
  <c r="F10" i="7"/>
  <c r="F11" i="7"/>
  <c r="F12" i="7"/>
  <c r="F13" i="7"/>
  <c r="F14" i="7"/>
  <c r="F15" i="7"/>
  <c r="F16" i="7"/>
  <c r="F17" i="7"/>
  <c r="F18" i="7"/>
  <c r="F19" i="7"/>
  <c r="F20" i="7"/>
  <c r="F21" i="7"/>
  <c r="F22" i="7"/>
  <c r="F23" i="7"/>
  <c r="F24" i="7"/>
  <c r="F25" i="7"/>
  <c r="F26" i="7"/>
  <c r="F3" i="7"/>
  <c r="C1622" i="1"/>
  <c r="C1623" i="1"/>
  <c r="A80" i="6"/>
  <c r="F59" i="6"/>
  <c r="C1594" i="1"/>
  <c r="C1593" i="1"/>
  <c r="C1592" i="1"/>
  <c r="C1591" i="1"/>
  <c r="C1590" i="1"/>
  <c r="A49" i="6"/>
  <c r="F5" i="6" s="1"/>
  <c r="F73" i="6"/>
  <c r="F66" i="6"/>
  <c r="F65" i="6"/>
  <c r="F57" i="6"/>
  <c r="F58" i="6"/>
  <c r="F74" i="6"/>
  <c r="F64" i="6"/>
  <c r="F56" i="6"/>
  <c r="F53" i="6"/>
  <c r="F71" i="6"/>
  <c r="F63" i="6"/>
  <c r="F55" i="6"/>
  <c r="F78" i="6"/>
  <c r="F54" i="6"/>
  <c r="F77" i="6"/>
  <c r="F76" i="6"/>
  <c r="F68" i="6"/>
  <c r="F60" i="6"/>
  <c r="F72" i="6"/>
  <c r="F70" i="6"/>
  <c r="F62" i="6"/>
  <c r="F69" i="6"/>
  <c r="F61" i="6"/>
  <c r="F75" i="6"/>
  <c r="F67" i="6"/>
  <c r="F3" i="6"/>
  <c r="F17" i="6"/>
  <c r="F9" i="6"/>
  <c r="F28" i="6"/>
  <c r="F35" i="6"/>
  <c r="F34" i="6"/>
  <c r="F41" i="6"/>
  <c r="F16" i="6"/>
  <c r="F8" i="6"/>
  <c r="F20" i="6"/>
  <c r="F27" i="6"/>
  <c r="F42" i="6"/>
  <c r="F2" i="6"/>
  <c r="F49" i="6" s="1"/>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3249" i="1"/>
  <c r="C3248" i="1"/>
  <c r="C3237" i="1"/>
  <c r="C3247" i="1"/>
  <c r="C3246" i="1"/>
  <c r="C3245" i="1"/>
  <c r="C3244" i="1"/>
  <c r="C3243" i="1"/>
  <c r="C3242" i="1"/>
  <c r="C3241" i="1"/>
  <c r="C3240" i="1"/>
  <c r="C3239" i="1"/>
  <c r="C3238"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70"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3333" i="1"/>
  <c r="C3332" i="1"/>
  <c r="C3331" i="1"/>
  <c r="C3330" i="1"/>
  <c r="C3327" i="1"/>
  <c r="C3326" i="1"/>
  <c r="C3325" i="1"/>
  <c r="C3324" i="1"/>
  <c r="C3323" i="1"/>
  <c r="C3322" i="1"/>
  <c r="C3321" i="1"/>
  <c r="C3320" i="1"/>
  <c r="C3319" i="1"/>
  <c r="C3318" i="1"/>
  <c r="C3317" i="1"/>
  <c r="C3316" i="1"/>
  <c r="C3315" i="1"/>
  <c r="C3314" i="1"/>
  <c r="C3313" i="1"/>
  <c r="C3312" i="1"/>
  <c r="C3311" i="1"/>
  <c r="C3310" i="1"/>
  <c r="C3309" i="1"/>
  <c r="C3308" i="1"/>
  <c r="C3307" i="1"/>
  <c r="C3306" i="1"/>
  <c r="C3303" i="1"/>
  <c r="C3302" i="1"/>
  <c r="C3301" i="1"/>
  <c r="C3300" i="1"/>
  <c r="C3329" i="1"/>
  <c r="C3328" i="1"/>
  <c r="C3305" i="1"/>
  <c r="C3304"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449" i="1"/>
  <c r="C2448" i="1"/>
  <c r="C2447" i="1"/>
  <c r="C2446" i="1"/>
  <c r="C2445" i="1"/>
  <c r="C2444"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0" i="1"/>
  <c r="C2379" i="1"/>
  <c r="C2378" i="1"/>
  <c r="C2377" i="1"/>
  <c r="C2376" i="1"/>
  <c r="C2375" i="1"/>
  <c r="C2374" i="1"/>
  <c r="C2373" i="1"/>
  <c r="C2372" i="1"/>
  <c r="C2371" i="1"/>
  <c r="C2370" i="1"/>
  <c r="C2369"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5" i="1"/>
  <c r="C1914" i="1"/>
  <c r="C1913" i="1"/>
  <c r="C1912" i="1"/>
  <c r="C1911" i="1"/>
  <c r="C1910" i="1"/>
  <c r="C1909" i="1"/>
  <c r="C1908" i="1"/>
  <c r="C1907" i="1"/>
  <c r="C1906" i="1"/>
  <c r="C1905" i="1"/>
  <c r="C1904" i="1"/>
  <c r="C1903" i="1"/>
  <c r="C1902" i="1"/>
  <c r="C1901" i="1"/>
  <c r="C1900" i="1"/>
  <c r="C1899" i="1"/>
  <c r="C1898" i="1"/>
  <c r="D23" i="5"/>
  <c r="D22" i="5"/>
  <c r="D21" i="5"/>
  <c r="D17" i="5"/>
  <c r="D16" i="5"/>
  <c r="E16" i="5" s="1"/>
  <c r="D15" i="5"/>
  <c r="E15" i="5" s="1"/>
  <c r="D11" i="5"/>
  <c r="D10" i="5"/>
  <c r="D9" i="5"/>
  <c r="D4" i="5"/>
  <c r="D5" i="5"/>
  <c r="D3" i="5"/>
  <c r="E21" i="5"/>
  <c r="E10" i="5"/>
  <c r="E11" i="5"/>
  <c r="E23" i="5"/>
  <c r="E22" i="5"/>
  <c r="E9" i="5"/>
  <c r="E3" i="5"/>
  <c r="E5" i="5"/>
  <c r="E4" i="5"/>
  <c r="C1576" i="1"/>
  <c r="C1575" i="1"/>
  <c r="C1573" i="1"/>
  <c r="C1572" i="1"/>
  <c r="C1570" i="1"/>
  <c r="C1569" i="1"/>
  <c r="C1567" i="1"/>
  <c r="C1566" i="1"/>
  <c r="C1564" i="1"/>
  <c r="C1563" i="1"/>
  <c r="C1561" i="1"/>
  <c r="C1560" i="1"/>
  <c r="C1558" i="1"/>
  <c r="C1557" i="1"/>
  <c r="C1555" i="1"/>
  <c r="C1554" i="1"/>
  <c r="C1552" i="1"/>
  <c r="C1551" i="1"/>
  <c r="C1549" i="1"/>
  <c r="C1548"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59" i="1"/>
  <c r="C1458" i="1"/>
  <c r="C1457" i="1"/>
  <c r="C1456" i="1"/>
  <c r="C1455" i="1"/>
  <c r="C1454" i="1"/>
  <c r="C1453" i="1"/>
  <c r="C1452" i="1"/>
  <c r="C1451" i="1"/>
  <c r="C1450" i="1"/>
  <c r="C1448" i="1"/>
  <c r="C1447" i="1"/>
  <c r="C1446" i="1"/>
  <c r="C1445" i="1"/>
  <c r="C1444" i="1"/>
  <c r="C1443" i="1"/>
  <c r="C1442" i="1"/>
  <c r="C1441" i="1"/>
  <c r="C1440" i="1"/>
  <c r="C1439" i="1"/>
  <c r="C1437" i="1"/>
  <c r="C1436" i="1"/>
  <c r="C1435" i="1"/>
  <c r="C1434" i="1"/>
  <c r="C1433" i="1"/>
  <c r="C1432" i="1"/>
  <c r="C1431" i="1"/>
  <c r="C1430" i="1"/>
  <c r="C1429" i="1"/>
  <c r="C1428" i="1"/>
  <c r="C1427" i="1"/>
  <c r="C1426" i="1"/>
  <c r="C1425" i="1"/>
  <c r="C1424" i="1"/>
  <c r="C1423" i="1"/>
  <c r="C1422" i="1"/>
  <c r="C1421" i="1"/>
  <c r="C1420" i="1"/>
  <c r="C1419" i="1"/>
  <c r="C1418"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8" i="1"/>
  <c r="C1087" i="1"/>
  <c r="C1086" i="1"/>
  <c r="C1085" i="1"/>
  <c r="C1084"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5" i="1"/>
  <c r="C1034" i="1"/>
  <c r="C1033" i="1"/>
  <c r="C1032" i="1"/>
  <c r="C1031" i="1"/>
  <c r="C1030" i="1"/>
  <c r="C1029" i="1"/>
  <c r="C1028" i="1"/>
  <c r="C1027" i="1"/>
  <c r="C1026" i="1"/>
  <c r="C1025" i="1"/>
  <c r="C1024" i="1"/>
  <c r="C1023" i="1"/>
  <c r="C1022" i="1"/>
  <c r="C1021" i="1"/>
  <c r="C1020" i="1"/>
  <c r="C1019" i="1"/>
  <c r="C1018" i="1"/>
  <c r="C1017" i="1"/>
  <c r="C1016" i="1"/>
  <c r="C1417" i="1"/>
  <c r="C1416" i="1"/>
  <c r="C1083" i="1"/>
  <c r="C1082"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A12" i="3"/>
  <c r="A11" i="3"/>
  <c r="A8" i="3"/>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F29" i="2"/>
  <c r="F41" i="2" s="1"/>
  <c r="F30" i="2"/>
  <c r="F31" i="2"/>
  <c r="F32" i="2"/>
  <c r="F33" i="2"/>
  <c r="F34" i="2"/>
  <c r="F35" i="2"/>
  <c r="F36" i="2"/>
  <c r="F37" i="2"/>
  <c r="F38" i="2"/>
  <c r="F28" i="2"/>
  <c r="C737" i="1"/>
  <c r="C736" i="1"/>
  <c r="C735" i="1"/>
  <c r="C734" i="1"/>
  <c r="C733" i="1"/>
  <c r="A24" i="2"/>
  <c r="C697" i="1"/>
  <c r="C696" i="1"/>
  <c r="C695" i="1"/>
  <c r="C693" i="1"/>
  <c r="C692" i="1"/>
  <c r="C691" i="1"/>
  <c r="C690" i="1"/>
  <c r="C689" i="1"/>
  <c r="C688"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6" i="1"/>
  <c r="C657" i="1"/>
  <c r="C658" i="1"/>
  <c r="C655" i="1"/>
  <c r="C654" i="1"/>
  <c r="C653" i="1"/>
  <c r="C652" i="1"/>
  <c r="C651" i="1"/>
  <c r="C650" i="1"/>
  <c r="C649" i="1"/>
  <c r="C648" i="1"/>
  <c r="C647" i="1"/>
  <c r="C646" i="1"/>
  <c r="C645" i="1"/>
  <c r="C644" i="1"/>
  <c r="C643" i="1"/>
  <c r="C642" i="1"/>
  <c r="C641" i="1"/>
  <c r="C640" i="1"/>
  <c r="C639" i="1"/>
  <c r="C638" i="1"/>
  <c r="C637" i="1"/>
  <c r="C636" i="1"/>
  <c r="C635" i="1"/>
  <c r="C632" i="1"/>
  <c r="C633" i="1"/>
  <c r="C634" i="1"/>
  <c r="C629" i="1"/>
  <c r="C630" i="1"/>
  <c r="C631" i="1"/>
  <c r="C626" i="1"/>
  <c r="C627" i="1"/>
  <c r="C628" i="1"/>
  <c r="C623" i="1"/>
  <c r="C624" i="1"/>
  <c r="C625" i="1"/>
  <c r="C620" i="1"/>
  <c r="C621" i="1"/>
  <c r="C622" i="1"/>
  <c r="C617" i="1"/>
  <c r="C618" i="1"/>
  <c r="C619" i="1"/>
  <c r="C614" i="1"/>
  <c r="C615" i="1"/>
  <c r="C616" i="1"/>
  <c r="C611" i="1"/>
  <c r="C612" i="1"/>
  <c r="C613" i="1"/>
  <c r="C608" i="1"/>
  <c r="C609" i="1"/>
  <c r="C610" i="1"/>
  <c r="C605" i="1"/>
  <c r="C606" i="1"/>
  <c r="C607" i="1"/>
  <c r="C603" i="1"/>
  <c r="C602" i="1"/>
  <c r="C601" i="1"/>
  <c r="C599" i="1"/>
  <c r="C598" i="1"/>
  <c r="C597" i="1"/>
  <c r="C596" i="1"/>
  <c r="C595" i="1"/>
  <c r="C594" i="1"/>
  <c r="C591" i="1"/>
  <c r="C592" i="1"/>
  <c r="C593" i="1"/>
  <c r="C588" i="1"/>
  <c r="C589" i="1"/>
  <c r="C590" i="1"/>
  <c r="C585" i="1"/>
  <c r="C586" i="1"/>
  <c r="C587" i="1"/>
  <c r="C582" i="1"/>
  <c r="C583" i="1"/>
  <c r="C584" i="1"/>
  <c r="C581" i="1"/>
  <c r="C580" i="1"/>
  <c r="C579" i="1"/>
  <c r="C577" i="1"/>
  <c r="C576" i="1"/>
  <c r="C575" i="1"/>
  <c r="C570" i="1"/>
  <c r="C569" i="1"/>
  <c r="C568" i="1"/>
  <c r="C567" i="1"/>
  <c r="C566" i="1"/>
  <c r="C565" i="1"/>
  <c r="C564" i="1"/>
  <c r="C563" i="1"/>
  <c r="C562" i="1"/>
  <c r="C561" i="1"/>
  <c r="C560" i="1"/>
  <c r="C559" i="1"/>
  <c r="C558" i="1"/>
  <c r="C557" i="1"/>
  <c r="C556" i="1"/>
  <c r="C554" i="1"/>
  <c r="C553" i="1"/>
  <c r="C552" i="1"/>
  <c r="C551" i="1"/>
  <c r="C550" i="1"/>
  <c r="C549" i="1"/>
  <c r="C546" i="1"/>
  <c r="C547" i="1"/>
  <c r="C548" i="1"/>
  <c r="C571" i="1"/>
  <c r="C572" i="1"/>
  <c r="C420" i="1"/>
  <c r="C418" i="1"/>
  <c r="C416" i="1"/>
  <c r="C414" i="1"/>
  <c r="C412" i="1"/>
  <c r="C410" i="1"/>
  <c r="C408" i="1"/>
  <c r="C406" i="1"/>
  <c r="C404" i="1"/>
  <c r="C402" i="1"/>
  <c r="C400" i="1"/>
  <c r="C398" i="1"/>
  <c r="C396" i="1"/>
  <c r="C394" i="1"/>
  <c r="C392" i="1"/>
  <c r="C390" i="1"/>
  <c r="C388" i="1"/>
  <c r="C386" i="1"/>
  <c r="C421" i="1"/>
  <c r="C419" i="1"/>
  <c r="C417" i="1"/>
  <c r="C415" i="1"/>
  <c r="C413" i="1"/>
  <c r="C411" i="1"/>
  <c r="C409" i="1"/>
  <c r="C407" i="1"/>
  <c r="C405" i="1"/>
  <c r="C403" i="1"/>
  <c r="C401" i="1"/>
  <c r="C399" i="1"/>
  <c r="C397" i="1"/>
  <c r="C395" i="1"/>
  <c r="C393" i="1"/>
  <c r="C391" i="1"/>
  <c r="C389" i="1"/>
  <c r="C387" i="1"/>
  <c r="E17" i="5" l="1"/>
</calcChain>
</file>

<file path=xl/sharedStrings.xml><?xml version="1.0" encoding="utf-8"?>
<sst xmlns="http://schemas.openxmlformats.org/spreadsheetml/2006/main" count="24322" uniqueCount="810">
  <si>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</si>
  <si>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</si>
  <si>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</si>
  <si>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</si>
  <si>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</si>
  <si>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</si>
  <si>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</si>
  <si>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</si>
  <si>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</si>
  <si>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</si>
  <si>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</si>
  <si>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</si>
  <si>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</si>
  <si>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</si>
  <si>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</si>
  <si>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</si>
  <si>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</si>
  <si>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</si>
  <si>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</si>
  <si>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</si>
  <si>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</si>
  <si>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</si>
  <si>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</si>
  <si>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</si>
  <si>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</si>
  <si>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</si>
  <si>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</si>
  <si>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</si>
  <si>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</si>
  <si>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</si>
  <si>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</si>
  <si>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</si>
  <si>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</si>
  <si>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</si>
  <si>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</si>
  <si>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</si>
  <si>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</si>
  <si>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</si>
  <si>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</si>
  <si>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</si>
  <si>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</si>
  <si>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</si>
  <si>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</si>
  <si>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</si>
  <si>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</si>
  <si>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</si>
  <si>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</si>
  <si>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</si>
  <si>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</si>
  <si>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</si>
  <si>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</si>
  <si>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</si>
  <si>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</si>
  <si>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</si>
  <si>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</si>
  <si>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</si>
  <si>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</si>
  <si>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</si>
  <si>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</si>
  <si>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</si>
  <si>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</si>
  <si>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</si>
  <si>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</si>
  <si>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</si>
  <si>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</si>
  <si>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</si>
  <si>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</si>
  <si>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</si>
  <si>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</si>
  <si>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</si>
  <si>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</si>
  <si>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</si>
  <si>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</si>
  <si>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</si>
  <si>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</si>
  <si>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</si>
  <si>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</si>
  <si>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</si>
  <si>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</si>
  <si>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</si>
  <si>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</si>
  <si>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</si>
  <si>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</si>
  <si>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</si>
  <si>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</si>
  <si>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</si>
  <si>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</si>
  <si>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</si>
  <si>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</si>
  <si>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</si>
  <si>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</si>
  <si>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</si>
  <si>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</si>
  <si>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</si>
  <si>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</si>
  <si>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</si>
  <si>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</si>
  <si>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</si>
  <si>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</si>
  <si>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</si>
  <si>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</si>
  <si>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</si>
  <si>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</si>
  <si>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</si>
  <si>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</si>
  <si>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</si>
  <si>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</si>
  <si>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</si>
  <si>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</si>
  <si>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</si>
  <si>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</si>
  <si>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</si>
  <si>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</si>
  <si>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</si>
  <si>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</si>
  <si>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</si>
  <si>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</si>
  <si>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</si>
  <si>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</si>
  <si>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</si>
  <si>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</si>
  <si>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</si>
  <si>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</si>
  <si>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</si>
  <si>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</si>
  <si>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</si>
  <si>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</si>
  <si>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</si>
  <si>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</si>
  <si>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</si>
  <si>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</si>
  <si>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</si>
  <si>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</si>
  <si>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</si>
  <si>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</si>
  <si>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</si>
  <si>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</si>
  <si>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</si>
  <si>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</si>
  <si>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</si>
  <si>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</si>
  <si>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</si>
  <si>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</si>
  <si>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</si>
  <si>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</si>
  <si>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</si>
  <si>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</si>
  <si>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</si>
  <si>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</si>
  <si>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</si>
  <si>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</si>
  <si>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</si>
  <si>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</si>
  <si>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</si>
  <si>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</si>
  <si>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</si>
  <si>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</si>
  <si>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</si>
  <si>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</si>
  <si>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</si>
  <si>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</si>
  <si>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</si>
  <si>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</si>
  <si>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</si>
  <si>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</si>
  <si>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</si>
  <si>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</si>
  <si>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</si>
  <si>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</si>
  <si>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</si>
  <si>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</si>
  <si>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</si>
  <si>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</si>
  <si>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</si>
  <si>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</si>
  <si>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</si>
  <si>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</si>
  <si>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</si>
  <si>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</si>
  <si>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</si>
  <si>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</si>
  <si>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</si>
  <si>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</si>
  <si>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</si>
  <si>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</si>
  <si>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</si>
  <si>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</si>
  <si>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</si>
  <si>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</si>
  <si>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</si>
  <si>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</si>
  <si>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</si>
  <si>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</si>
  <si>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</si>
  <si>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</si>
  <si>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</si>
  <si>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</si>
  <si>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</si>
  <si>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</si>
  <si>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</si>
  <si>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</si>
  <si>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</si>
  <si>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</si>
  <si>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</si>
  <si>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</si>
  <si>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</si>
  <si>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</si>
  <si>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</si>
  <si>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</si>
  <si>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</si>
  <si>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</si>
  <si>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</si>
  <si>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</si>
  <si>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</si>
  <si>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</si>
  <si>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</si>
  <si>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</si>
  <si>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</si>
  <si>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</si>
  <si>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</si>
  <si>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</si>
  <si>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</si>
  <si>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</si>
  <si>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</si>
  <si>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</si>
  <si>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</si>
  <si>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</si>
  <si>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</si>
  <si>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</si>
  <si>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</si>
  <si>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</si>
  <si>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</si>
  <si>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</si>
  <si>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</si>
  <si>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</si>
  <si>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</si>
  <si>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</si>
  <si>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</si>
  <si>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</si>
  <si>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</si>
  <si>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</si>
  <si>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</si>
  <si>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</si>
  <si>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bauxite mine operation</t>
  </si>
  <si>
    <t>bauxite</t>
  </si>
  <si>
    <t>Yes</t>
  </si>
  <si>
    <t>aluminium oxide, metallurgical</t>
  </si>
  <si>
    <t>aluminium oxide production</t>
  </si>
  <si>
    <t>UN-OCEANIA</t>
  </si>
  <si>
    <t>aluminium hydroxide production</t>
  </si>
  <si>
    <t>aluminium hydroxide</t>
  </si>
  <si>
    <t>IAI Area, Russia &amp; RER w/o EU27 &amp; EFTA</t>
  </si>
  <si>
    <t>IAI Area, South America</t>
  </si>
  <si>
    <t>RNA</t>
  </si>
  <si>
    <t>CN</t>
  </si>
  <si>
    <t>IAI Area, EU27 &amp; EFTA</t>
  </si>
  <si>
    <t>RoW</t>
  </si>
  <si>
    <t>There is no African region nor RoW in EI</t>
  </si>
  <si>
    <t>IAI Area, Asia, without China and GCC</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</si>
  <si>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</si>
  <si>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</si>
  <si>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</si>
  <si>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There are three markets: market for aluminium, primary, ingot (RoW)//(IAI Area, North America)//(IAI Area, EU27 &amp; EFTA)</t>
  </si>
  <si>
    <t>aluminium production, primary, ingot</t>
  </si>
  <si>
    <t>aluminium, primary, ingot</t>
  </si>
  <si>
    <t>Aluminium, primary, liquid</t>
  </si>
  <si>
    <t>Parent process of "aluminium production, primary, ingot"///Market: market for aluminium, primary, liquid (GLO) ///// I will only be included the prebake path (more modern and sustainable, suitable for pLCA. Additionally, it is already dominant)</t>
  </si>
  <si>
    <t>aluminium production, primary, liquid, prebake</t>
  </si>
  <si>
    <t>aluminium, primary, liquid</t>
  </si>
  <si>
    <t>IAI Area, Gulf Cooperation Council</t>
  </si>
  <si>
    <t>CA</t>
  </si>
  <si>
    <t>IAI Area, Africa</t>
  </si>
  <si>
    <t>beryllium production</t>
  </si>
  <si>
    <t>beryllium</t>
  </si>
  <si>
    <t>There is one market: market for beryllium (GLO)</t>
  </si>
  <si>
    <t>beryllium hydroxide</t>
  </si>
  <si>
    <t>US</t>
  </si>
  <si>
    <t>beryllium hydroxide production</t>
  </si>
  <si>
    <t>Beyond our scope</t>
  </si>
  <si>
    <t>The technological assumption is: 70% comined with zinc - 30% primary production. This is the assumption found in EI</t>
  </si>
  <si>
    <t>primary zinc production from concentrate</t>
  </si>
  <si>
    <t>cadmium</t>
  </si>
  <si>
    <t>cadmium production, primary</t>
  </si>
  <si>
    <t>There is a global market: market for cadmium (GLO)</t>
  </si>
  <si>
    <t>chromite ore concentrate production</t>
  </si>
  <si>
    <t>chromite ore concentrate</t>
  </si>
  <si>
    <t>KZ</t>
  </si>
  <si>
    <t>ID</t>
  </si>
  <si>
    <t>CA-QC</t>
  </si>
  <si>
    <t>cobalt production</t>
  </si>
  <si>
    <t>cobalt hydroxide</t>
  </si>
  <si>
    <t>cobalt sulfate production, from copper mining, economic allocation</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</si>
  <si>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</si>
  <si>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</si>
  <si>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</si>
  <si>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mining, artisanal</t>
  </si>
  <si>
    <t>copper-cobalt mining, industrial, economic allocation</t>
  </si>
  <si>
    <t>copper-cobalt ore</t>
  </si>
  <si>
    <t>CD</t>
  </si>
  <si>
    <t>cobalt hydroxide, via hydrometallurigcal ore procesing, economic allocation</t>
  </si>
  <si>
    <t>Check with Romain. There is other cobalt ore in Ecoinvent - I choose the one from Arvidsson</t>
  </si>
  <si>
    <t>I assume hydroxide is produced in the mining country. The export occurs in the form of crude cobalt hydroxide</t>
  </si>
  <si>
    <t>gallium production, semiconductor-grade</t>
  </si>
  <si>
    <t>EI models it as an aluminium by-product / It exists a market: market for gallium, semiconductor-grade (GLO)</t>
  </si>
  <si>
    <t>gallium, semiconductor-grade</t>
  </si>
  <si>
    <t>copper concentrate, sulfide ore</t>
  </si>
  <si>
    <t>copper mine operation and beneficiation, sulfide ore</t>
  </si>
  <si>
    <t>AU</t>
  </si>
  <si>
    <t>IN</t>
  </si>
  <si>
    <t>gold-silver mine operation and beneficiation</t>
  </si>
  <si>
    <t>PE</t>
  </si>
  <si>
    <t>CL</t>
  </si>
  <si>
    <t>RU</t>
  </si>
  <si>
    <t>SE</t>
  </si>
  <si>
    <t>ZM</t>
  </si>
  <si>
    <t>zinc mine operation</t>
  </si>
  <si>
    <t>molybdenite mine operation</t>
  </si>
  <si>
    <t>smelting and refining of nickel concentrate, 16% Ni</t>
  </si>
  <si>
    <t>smelting of copper concentrate, sulfide ore</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</si>
  <si>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</si>
  <si>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</si>
  <si>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</si>
  <si>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</si>
  <si>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</si>
  <si>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</si>
  <si>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</si>
  <si>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</si>
  <si>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</si>
  <si>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</si>
  <si>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</si>
  <si>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</si>
  <si>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</si>
  <si>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</si>
  <si>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</si>
  <si>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</si>
  <si>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</si>
  <si>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</si>
  <si>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</si>
  <si>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Without treatment processes</t>
  </si>
  <si>
    <t>New share</t>
  </si>
  <si>
    <t>Old share</t>
  </si>
  <si>
    <t>BGS share * EI share (without secondary sources)</t>
  </si>
  <si>
    <t>We consider the technological shares from Ecoinvent (GLO) for those not specifically representated // EI share * BGS share</t>
  </si>
  <si>
    <t>Market: market for graphite, battery grade (CN) // We assume that from mining to refining occurs in the same region</t>
  </si>
  <si>
    <t>We keep the technological shares from EI // BGS share * EI share (copper mine/molybdenite mine)</t>
  </si>
  <si>
    <t>molybdenite</t>
  </si>
  <si>
    <t>IL</t>
  </si>
  <si>
    <t>We assume same shares as mining -&gt; Room for improvement // Market: market for molybdenum (GLO)</t>
  </si>
  <si>
    <t>molybdenum production</t>
  </si>
  <si>
    <t>molybdenum</t>
  </si>
  <si>
    <t>gold production</t>
  </si>
  <si>
    <t>gold</t>
  </si>
  <si>
    <t>BGS shares * EI shares</t>
  </si>
  <si>
    <t>gold-silver mine operation with refinery</t>
  </si>
  <si>
    <t>silver-gold mine operation with refinery</t>
  </si>
  <si>
    <t>PG</t>
  </si>
  <si>
    <t>gold refinery operation</t>
  </si>
  <si>
    <t>TZ</t>
  </si>
  <si>
    <t>processing of anode slime from electrorefining of copper, anode</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</si>
  <si>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</si>
  <si>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</si>
  <si>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 production</t>
  </si>
  <si>
    <t>indium</t>
  </si>
  <si>
    <t>indium rich leaching residues, from zinc production</t>
  </si>
  <si>
    <t>Market: market for indium rich leaching residues, from zinc production (GLO)</t>
  </si>
  <si>
    <t>dolomite production</t>
  </si>
  <si>
    <t>dolomite</t>
  </si>
  <si>
    <t>magnesium production, pidgeon process</t>
  </si>
  <si>
    <t>magnesium</t>
  </si>
  <si>
    <t>magnesium production, electrolysis</t>
  </si>
  <si>
    <t>rhenium</t>
  </si>
  <si>
    <t>Price [$ per kg]</t>
  </si>
  <si>
    <t>Copper</t>
  </si>
  <si>
    <t>Molybdenum</t>
  </si>
  <si>
    <t>Mine [kg/kg ore]</t>
  </si>
  <si>
    <t>Additional inventory - Rhenium was not a product // Allocation done. There is a GLO process in EcoQuery that I do not find in AB</t>
  </si>
  <si>
    <t>manganese concentrate production</t>
  </si>
  <si>
    <t>manganese concentrate</t>
  </si>
  <si>
    <t>lead concentrate</t>
  </si>
  <si>
    <t>silver mine operation with extraction</t>
  </si>
  <si>
    <t>bulk lead-zinc concentrate to generic markets for zinc concentrate and lead concentrate</t>
  </si>
  <si>
    <t>primary lead production from concentrate</t>
  </si>
  <si>
    <t>lead</t>
  </si>
  <si>
    <t>Market: market for lead (GLO) // It includes a significant share coming from secondary sources</t>
  </si>
  <si>
    <t>nickel, class 1</t>
  </si>
  <si>
    <t>smelting and refining of nickel concentrate, 7% Ni</t>
  </si>
  <si>
    <t>processing of nickel-rich materials</t>
  </si>
  <si>
    <t>Double check this. Why does ecoinvent bring so much from cobalt production??</t>
  </si>
  <si>
    <t>nickel mine operation and benefication to nickel concentrate, 7% Ni</t>
  </si>
  <si>
    <t>nickel concentrate, 7% Ni</t>
  </si>
  <si>
    <t>nickel mine operation and benefication to nickel concentrate, 16% Ni</t>
  </si>
  <si>
    <t>nickel concentrate, 16% Ni</t>
  </si>
  <si>
    <t>phosphate rock beneficiation</t>
  </si>
  <si>
    <t>phosphate rock, beneficiated</t>
  </si>
  <si>
    <t>MA</t>
  </si>
  <si>
    <t>market for selenium (GLO)</t>
  </si>
  <si>
    <t>selenium production</t>
  </si>
  <si>
    <t>selenium</t>
  </si>
  <si>
    <t>palladium</t>
  </si>
  <si>
    <t>market for palladium (GLO) // RU if pd &gt; pt</t>
  </si>
  <si>
    <t>platinum</t>
  </si>
  <si>
    <t>platinum group metal concentrate</t>
  </si>
  <si>
    <t>platinum group metal, mine and concentration operations</t>
  </si>
  <si>
    <t>strontium mine operation and beneficiation</t>
  </si>
  <si>
    <t>strontium sulfate, 90% SrSO4</t>
  </si>
  <si>
    <t>ES</t>
  </si>
  <si>
    <t>market for tungsten concentrate (GLO)</t>
  </si>
  <si>
    <t>tungsten mine operation and beneficiation</t>
  </si>
  <si>
    <t>tungsten concentrate</t>
  </si>
  <si>
    <t>uranium mine operation, open cast</t>
  </si>
  <si>
    <t>uranium mine operation, underground</t>
  </si>
  <si>
    <t>uranium ore, as U</t>
  </si>
  <si>
    <t>zinc concentrate</t>
  </si>
  <si>
    <t>market for zinc concentrate (GLO)</t>
  </si>
  <si>
    <t>market for zinc (GLO)</t>
  </si>
  <si>
    <t>zinc</t>
  </si>
  <si>
    <t>tin concentrate</t>
  </si>
  <si>
    <t>tin mine operation</t>
  </si>
  <si>
    <t>market for tin concentrate (GLO)</t>
  </si>
  <si>
    <t>tin production</t>
  </si>
  <si>
    <t>tin</t>
  </si>
  <si>
    <t>tellurium production, semiconductor-grade</t>
  </si>
  <si>
    <t>tellurium, semiconductor-grade</t>
  </si>
  <si>
    <t>market for tellurium, semiconductor-grade (GLO)</t>
  </si>
  <si>
    <t>silver</t>
  </si>
  <si>
    <t>market for silver (GLO)</t>
  </si>
  <si>
    <t>rare earth carbonate concentrate</t>
  </si>
  <si>
    <t>market for rare earth carbonate concentrate (GLO)</t>
  </si>
  <si>
    <t>rare earth element mine operation and beneficiation, ion adsorption clays</t>
  </si>
  <si>
    <t>market for tantalum concentrate, 30% Ta2O5 (GLO)</t>
  </si>
  <si>
    <t>tantalum mine operation and beneficiation</t>
  </si>
  <si>
    <t>tantalum concentrate, 30% Ta2O5</t>
  </si>
  <si>
    <t>RW</t>
  </si>
  <si>
    <t>ferroniobium production, from pyrochlore concentrate, 66% Nb</t>
  </si>
  <si>
    <t>ferroniobium, 66% Nb</t>
  </si>
  <si>
    <t>BR</t>
  </si>
  <si>
    <t>pyrochlore concentrate</t>
  </si>
  <si>
    <t>niobium mine operation and beneficiation, from pyrochlore ore</t>
  </si>
  <si>
    <t>scandium oxide production, from rare earth tailings</t>
  </si>
  <si>
    <t>CN-NM</t>
  </si>
  <si>
    <t>heavy mineral sand quarry operation</t>
  </si>
  <si>
    <t>ilmenite, 54% titanium dioxide</t>
  </si>
  <si>
    <t>ilmenite - magnetite mine operation</t>
  </si>
  <si>
    <t>heavy mineral sand quarry operation and titania slag production</t>
  </si>
  <si>
    <t>rutile, 95% titanium dioxide</t>
  </si>
  <si>
    <t>rutile production, synthetic, 95% titanium dioxide, Becher process</t>
  </si>
  <si>
    <t>rutile production, synthetic, 95% titanium dioxide, Benelite process</t>
  </si>
  <si>
    <t>lithium carbonate production, from Salar de Atacama</t>
  </si>
  <si>
    <t>lithium carbonate production, from Salar de Cauchari-Olaroz</t>
  </si>
  <si>
    <t>lithium carbonate production, from Salar de Olaroz</t>
  </si>
  <si>
    <t>lithium carbonate production, from Salar del Hombre Muerto</t>
  </si>
  <si>
    <t>lithium carbonate, battery grade</t>
  </si>
  <si>
    <t>AR</t>
  </si>
  <si>
    <t>lithium carbonate production, from Chaerhan salt lake</t>
  </si>
  <si>
    <t>lithium carbonate production, from spodumene</t>
  </si>
  <si>
    <t>lithium carbonate</t>
  </si>
  <si>
    <t>spodumene</t>
  </si>
  <si>
    <t>spodumene production</t>
  </si>
  <si>
    <t>https://pubs.acs.org/doi/full/10.1021/acs.est.8b02073</t>
  </si>
  <si>
    <t>vanadium pentoxide</t>
  </si>
  <si>
    <t>market for iron ore concentrate (GLO)</t>
  </si>
  <si>
    <t>iron ore beneficiation</t>
  </si>
  <si>
    <t>IR</t>
  </si>
  <si>
    <t>NI</t>
  </si>
  <si>
    <t>PA</t>
  </si>
  <si>
    <t>PH</t>
  </si>
  <si>
    <t>TH</t>
  </si>
  <si>
    <t>VE</t>
  </si>
  <si>
    <t>iron ore concentrate</t>
  </si>
  <si>
    <t>iron ore mine operation and beneficiation</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</si>
  <si>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</si>
  <si>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</si>
  <si>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</si>
  <si>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</si>
  <si>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</si>
  <si>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</si>
  <si>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</si>
  <si>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</si>
  <si>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</si>
  <si>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</si>
  <si>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</si>
  <si>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</si>
  <si>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</si>
  <si>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</si>
  <si>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</si>
  <si>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</si>
  <si>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</si>
  <si>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</si>
  <si>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</si>
  <si>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</si>
  <si>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</si>
  <si>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</si>
  <si>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</si>
  <si>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</si>
  <si>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</si>
  <si>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</si>
  <si>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</si>
  <si>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</si>
  <si>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</si>
  <si>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</si>
  <si>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</si>
  <si>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</si>
  <si>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</si>
  <si>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</si>
  <si>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</si>
  <si>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</si>
  <si>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</si>
  <si>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</si>
  <si>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</si>
  <si>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</si>
  <si>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vanadium-titanomagnetite mine operation and beneficiation</t>
  </si>
  <si>
    <t>rare earth element mine operation and beneficiation, bastnaesite and monazite ore</t>
  </si>
  <si>
    <t>rare earth oxides production, from rare earth oxide concentrate, 70% REO</t>
  </si>
  <si>
    <t>Share of CN in RoW: 0.330538489833607</t>
  </si>
  <si>
    <t>CN-SC</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</si>
  <si>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</si>
  <si>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</si>
  <si>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</si>
  <si>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</si>
  <si>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</si>
  <si>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</si>
  <si>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</si>
  <si>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</si>
  <si>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</si>
  <si>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</si>
  <si>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</si>
  <si>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</si>
  <si>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</si>
  <si>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</si>
  <si>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</si>
  <si>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</si>
  <si>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</si>
  <si>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</si>
  <si>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</si>
  <si>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</si>
  <si>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</si>
  <si>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 production</t>
  </si>
  <si>
    <t>pig iron</t>
  </si>
  <si>
    <t>SA</t>
  </si>
  <si>
    <t>pig iron production, RoW</t>
  </si>
  <si>
    <t>cubic meter</t>
  </si>
  <si>
    <t>natural gas, high pressure</t>
  </si>
  <si>
    <t>market for natural gas, high pressure</t>
  </si>
  <si>
    <t>AE</t>
  </si>
  <si>
    <t>DZ</t>
  </si>
  <si>
    <t>IQ</t>
  </si>
  <si>
    <t>KW</t>
  </si>
  <si>
    <t>LY</t>
  </si>
  <si>
    <t>NG</t>
  </si>
  <si>
    <t>Share of CN in RoW: 0.056281456328563</t>
  </si>
  <si>
    <t>germanium, concentrate</t>
  </si>
  <si>
    <t>colemanite mine operation and beneficiation</t>
  </si>
  <si>
    <t>calcium borates</t>
  </si>
  <si>
    <t>EI distinguishes between calcium borates (colemanite) and sodium borates (probably tincal). However BGS and USGS only give information for borates aggregated. We assume the same shares for them both, but it is probable that US has a greater share of sodium borates production</t>
  </si>
  <si>
    <t>sodium borates</t>
  </si>
  <si>
    <t>sodium borate mine operation and beneficiation</t>
  </si>
  <si>
    <t>I have changed the name to chromite ore concentrate for it to match Ecoinvent</t>
  </si>
  <si>
    <t>stibnite mine operation and beneficiation</t>
  </si>
  <si>
    <t>stibnite concentrate</t>
  </si>
  <si>
    <t>I changed the name from cobalt, refined to cobalt sulfate - Check this is correct</t>
  </si>
  <si>
    <r>
      <t xml:space="preserve">market: </t>
    </r>
    <r>
      <rPr>
        <b/>
        <sz val="11"/>
        <color theme="1"/>
        <rFont val="Calibri"/>
        <family val="2"/>
        <scheme val="minor"/>
      </rPr>
      <t>market for copper concentrate, sulfide ore(GLO) /// BGS: copper, mine</t>
    </r>
  </si>
  <si>
    <t>BGS: copper, smelter</t>
  </si>
  <si>
    <t>We do not consider secondary sources yet. We keep the technological shares from Ecoinvent // Double check copper coming from tailings // BGS: copper, refining</t>
  </si>
  <si>
    <t>BGS: gallium</t>
  </si>
  <si>
    <t>BGS: Gold, mine</t>
  </si>
  <si>
    <t>Gold</t>
  </si>
  <si>
    <t>BGS: lead, mine</t>
  </si>
  <si>
    <t>BGS: lead, refined</t>
  </si>
  <si>
    <t>BGS: Magnesite</t>
  </si>
  <si>
    <t>BGS: Manganese, ore</t>
  </si>
  <si>
    <t>BGS: molybdenum, mine</t>
  </si>
  <si>
    <t>BGS: Nickel, mine</t>
  </si>
  <si>
    <t>BGS: Nickel, smelter-refiner</t>
  </si>
  <si>
    <t>BGS: REE oxides</t>
  </si>
  <si>
    <t>Selenium</t>
  </si>
  <si>
    <t>Silver</t>
  </si>
  <si>
    <t>BGS: Silver, mine</t>
  </si>
  <si>
    <t>BGS: strontium, mineral</t>
  </si>
  <si>
    <t>BGS: tantalum</t>
  </si>
  <si>
    <t>BGS: tellurium, refined</t>
  </si>
  <si>
    <t>BGS: tin, mine</t>
  </si>
  <si>
    <t>BGS: Tin, smelter</t>
  </si>
  <si>
    <t>BGS: ilmenite</t>
  </si>
  <si>
    <t>BGS: rutile</t>
  </si>
  <si>
    <t>BGS: tungsten, mine</t>
  </si>
  <si>
    <t>BGS: uranium</t>
  </si>
  <si>
    <t>BGS: vanadium, mine</t>
  </si>
  <si>
    <t>BGS: zinc, mine</t>
  </si>
  <si>
    <t>BGS: zinc, slab</t>
  </si>
  <si>
    <t>BGS: Antimony</t>
  </si>
  <si>
    <t>BGS: Alumina (Al2O3)</t>
  </si>
  <si>
    <t>BGS: aluminium, primary</t>
  </si>
  <si>
    <t>zircon</t>
  </si>
  <si>
    <t>These values are not coming from BGS but from van den Brink (2022)</t>
  </si>
  <si>
    <t>antimony</t>
  </si>
  <si>
    <t>antimony production</t>
  </si>
  <si>
    <t>Mining</t>
  </si>
  <si>
    <t>Refining</t>
  </si>
  <si>
    <t>Aluminium</t>
  </si>
  <si>
    <t>Antimony</t>
  </si>
  <si>
    <t>Beryllium</t>
  </si>
  <si>
    <t>Boron</t>
  </si>
  <si>
    <t>Brass</t>
  </si>
  <si>
    <t>Cerium</t>
  </si>
  <si>
    <t>Chromium</t>
  </si>
  <si>
    <t>Cobalt</t>
  </si>
  <si>
    <t>Dysprosium</t>
  </si>
  <si>
    <t>Erbium</t>
  </si>
  <si>
    <t>Europium</t>
  </si>
  <si>
    <t>Gadolinium</t>
  </si>
  <si>
    <t>Germanium</t>
  </si>
  <si>
    <t>Graphite</t>
  </si>
  <si>
    <t>Hafnium</t>
  </si>
  <si>
    <t>Indium</t>
  </si>
  <si>
    <t>Iridium</t>
  </si>
  <si>
    <t>Lanthanum</t>
  </si>
  <si>
    <t>Lead</t>
  </si>
  <si>
    <t>Lithium</t>
  </si>
  <si>
    <t>Magnesium</t>
  </si>
  <si>
    <t>Manganese</t>
  </si>
  <si>
    <t>Neodymium</t>
  </si>
  <si>
    <t>Nickel</t>
  </si>
  <si>
    <t>Niobium</t>
  </si>
  <si>
    <t>Palladium</t>
  </si>
  <si>
    <t>Phosphorous</t>
  </si>
  <si>
    <t>Platinum</t>
  </si>
  <si>
    <t>Potassium</t>
  </si>
  <si>
    <t>Praseodymium</t>
  </si>
  <si>
    <t>Rhodium</t>
  </si>
  <si>
    <t>Ruthenium</t>
  </si>
  <si>
    <t>Rubidium</t>
  </si>
  <si>
    <t>Samarium</t>
  </si>
  <si>
    <t>Scandium</t>
  </si>
  <si>
    <t>Silicon</t>
  </si>
  <si>
    <t>Sulfur</t>
  </si>
  <si>
    <t>Strontium</t>
  </si>
  <si>
    <t>Tantalum</t>
  </si>
  <si>
    <t>Tellurium</t>
  </si>
  <si>
    <t>Terbium</t>
  </si>
  <si>
    <t>Tin</t>
  </si>
  <si>
    <t>Titanium</t>
  </si>
  <si>
    <t>Tungsten</t>
  </si>
  <si>
    <t>Vanadium</t>
  </si>
  <si>
    <t>Ytterbium</t>
  </si>
  <si>
    <t>Yttrium</t>
  </si>
  <si>
    <t>Zinc</t>
  </si>
  <si>
    <t>Zirconium</t>
  </si>
  <si>
    <t>Yes, as bauxite</t>
  </si>
  <si>
    <t>Yes, from BGS</t>
  </si>
  <si>
    <t>Yes, from van den Brink (2022)</t>
  </si>
  <si>
    <t>No</t>
  </si>
  <si>
    <t>Iron</t>
  </si>
  <si>
    <t>Recycling LCI?</t>
  </si>
  <si>
    <t>Disaggregated data coming from BGS /// The creation of markets is not working right</t>
  </si>
  <si>
    <t>Specific landfill</t>
  </si>
  <si>
    <t>Yes?</t>
  </si>
  <si>
    <t>It is an copper-zinc alloy, we are already covering these two metals</t>
  </si>
  <si>
    <t>https://doi.org/10.1016/j.jclepro.2021.129932</t>
  </si>
  <si>
    <t>Refining of REE</t>
  </si>
  <si>
    <t>Yes - Ilankoon et al. (2022)</t>
  </si>
  <si>
    <t>There is a process for tailings</t>
  </si>
  <si>
    <t>REE</t>
  </si>
  <si>
    <t xml:space="preserve">Ecoinvent provides a unique process for mining and refining </t>
  </si>
  <si>
    <t>BNEF provides refining/mining shares up to 2030</t>
  </si>
  <si>
    <t>To be done!!</t>
  </si>
  <si>
    <t>Refining shares from RMIS - https://rmis.jrc.ec.europa.eu/rmp/Manganese</t>
  </si>
  <si>
    <t>Ecoinvent differentiates two processes, but I do not find detailed information</t>
  </si>
  <si>
    <t>potash salt</t>
  </si>
  <si>
    <t>potash salt production</t>
  </si>
  <si>
    <t xml:space="preserve">We have a unique process for mining and refining </t>
  </si>
  <si>
    <t>https://rmis.jrc.ec.europa.eu/rmp/Niobium  provides slightly more detailed information on the refining. The changes are not significat and we keep the shares constant</t>
  </si>
  <si>
    <t>no</t>
  </si>
  <si>
    <t>No data found - we leave it outside</t>
  </si>
  <si>
    <t>Refining shares from RmIS -https://rmis.jrc.ec.europa.eu/rmp/Titanium%20metal</t>
  </si>
  <si>
    <t>Denmark</t>
  </si>
  <si>
    <t>Lithuania</t>
  </si>
  <si>
    <t>Trinidad &amp; Tobago</t>
  </si>
  <si>
    <t>Turkmenistan</t>
  </si>
  <si>
    <t>sulfur</t>
  </si>
  <si>
    <t>sulfur production, petroleum refinery operation</t>
  </si>
  <si>
    <t>Europe without Switzerland</t>
  </si>
  <si>
    <t>titanium</t>
  </si>
  <si>
    <t>titanium production</t>
  </si>
  <si>
    <t>titanium sponge production, from titanium tetrachloride</t>
  </si>
  <si>
    <t>titanium sponge</t>
  </si>
  <si>
    <t>titanium tetrachloride production</t>
  </si>
  <si>
    <t>titanium tetrachloride</t>
  </si>
  <si>
    <t>PARENT</t>
  </si>
  <si>
    <t>Silica shares from USGS (sand and gravel) // Refining shares from USGS (Silicon Metal)</t>
  </si>
  <si>
    <t>silica sand</t>
  </si>
  <si>
    <t>silica sand production</t>
  </si>
  <si>
    <t>DE</t>
  </si>
  <si>
    <t>sand</t>
  </si>
  <si>
    <t>sand quarry operation, extraction from river bed</t>
  </si>
  <si>
    <t>gravel and sand quarry operation</t>
  </si>
  <si>
    <t>silicon, metallurgical grade</t>
  </si>
  <si>
    <t>silicon production, metallurgical grade</t>
  </si>
  <si>
    <t>NO</t>
  </si>
  <si>
    <t>APAC</t>
  </si>
  <si>
    <t>vanadium bearing magnetite</t>
  </si>
  <si>
    <t>manganese</t>
  </si>
  <si>
    <t>manganese production</t>
  </si>
  <si>
    <t>https://www.doka.ch/publications.htm</t>
  </si>
  <si>
    <t>Yes, EU report</t>
  </si>
  <si>
    <t>https://pubs.usgs.gov/fs/2016/3081/fs20163081.pdf
About 87 percent of the beryllium content of bertrandite
and beryl ores is recovered in the form of beryllium hydroxide and
shipped to producers of beryllium products, while the remaining insoluble
beryllium is not recovered and is sent to tailings ponds at the mill site</t>
  </si>
  <si>
    <t xml:space="preserve">EI distinguishes between calcium borates (colemanite) and sodium borates (probably tincal). However BGS and USGS only give information for borates aggregated. We assume the same shares for them both, but it is probable that US has a greater share of sodium borates production. Regarding the refining shares, the EU report shows very similar shares for both the refining and mining shares. </t>
  </si>
  <si>
    <t>boron trifluoride production</t>
  </si>
  <si>
    <t>boron trifluoride</t>
  </si>
  <si>
    <t>boron carbide production</t>
  </si>
  <si>
    <t>boron carbide</t>
  </si>
  <si>
    <t>boric oxide</t>
  </si>
  <si>
    <t>boric oxide production</t>
  </si>
  <si>
    <t>boric acid production, anhydrous, powder</t>
  </si>
  <si>
    <t>boric acid, anhydrous, powder</t>
  </si>
  <si>
    <t>Ecoinvent provides a unique process for mining and refining // We keep the Ecoinvent shares for processing to "semiconductor grade" // EU report also provides an only phase</t>
  </si>
  <si>
    <t>chromium</t>
  </si>
  <si>
    <t>chromium production</t>
  </si>
  <si>
    <t>Ecoinvent provides a unique process for mining and refining  // Both BGS and EU report provide an aggregated share</t>
  </si>
  <si>
    <t>dysprosium oxide</t>
  </si>
  <si>
    <t>rare earth oxides production, from rare earth carbonate concentrate</t>
  </si>
  <si>
    <t>CN-FJ</t>
  </si>
  <si>
    <t>erbium oxide</t>
  </si>
  <si>
    <t>europium oxide</t>
  </si>
  <si>
    <t>gadolinium oxide</t>
  </si>
  <si>
    <t>ytterbium oxide</t>
  </si>
  <si>
    <t>terbium oxide</t>
  </si>
  <si>
    <t>thulium oxide</t>
  </si>
  <si>
    <t>yttrium oxide</t>
  </si>
  <si>
    <t>samarium oxide</t>
  </si>
  <si>
    <t>praseodymium oxide</t>
  </si>
  <si>
    <t>neodymium oxide</t>
  </si>
  <si>
    <t>lutetium oxide</t>
  </si>
  <si>
    <t>lanthanum oxide</t>
  </si>
  <si>
    <t>holmium oxide</t>
  </si>
  <si>
    <t>cerium oxide</t>
  </si>
  <si>
    <t>Yes, BGS</t>
  </si>
  <si>
    <t>EI claims to have added this info in v3.9, but I do not find it // I modelled this</t>
  </si>
  <si>
    <t>hafnium sponge</t>
  </si>
  <si>
    <t>FR</t>
  </si>
  <si>
    <t>hafnium sponge production, from hafnium tetrachloride</t>
  </si>
  <si>
    <t>hafnium tetrachloride</t>
  </si>
  <si>
    <t>zirconium and hafnium tetrachloride production, from zircon</t>
  </si>
  <si>
    <t>Both BGS and EU report provide an aggregated share</t>
  </si>
  <si>
    <t>iridium</t>
  </si>
  <si>
    <t>Mining and refining are modelled together, coming from RU and ZA</t>
  </si>
  <si>
    <t>phosphorus, white, liquid</t>
  </si>
  <si>
    <t>phosphorus production, white, liquid</t>
  </si>
  <si>
    <t>phosphoric acid, fertiliser grade, without water, in 70% solution state</t>
  </si>
  <si>
    <t>phosphoric acid production, dihydrate process</t>
  </si>
  <si>
    <t>Bentonite</t>
  </si>
  <si>
    <t>bentonite</t>
  </si>
  <si>
    <t>bentonite quarry operation</t>
  </si>
  <si>
    <t xml:space="preserve">Byproduct of zinc. Only produced in CN, RU and USA // // EU report provides some shares that could be interpreted as the refining shares, however, this activity is not modelled in ecoinvent
</t>
  </si>
  <si>
    <r>
      <t xml:space="preserve">I do not find specific information for each phase // Reports such as https://hcss.nl/wp-content/uploads/2022/03/Graphite-Challenges-and-Recommendations-HCSS-2022.pdf also use the shares of graphite without making distinctions
</t>
    </r>
    <r>
      <rPr>
        <b/>
        <sz val="11"/>
        <color theme="1"/>
        <rFont val="Calibri"/>
        <family val="2"/>
        <scheme val="minor"/>
      </rPr>
      <t>Double check the creation of the market: (1) the right share of syntetic graphite and (2) the linking of downstream consumers</t>
    </r>
  </si>
  <si>
    <t>Looks ok</t>
  </si>
  <si>
    <t>Stibnite</t>
  </si>
  <si>
    <t>Aluminium hydroxide</t>
  </si>
  <si>
    <t>Double check the downstream consumers and that we are not double counting. For example, BRA supplies both to the world market and to the production of aluminium oxide in Brazil</t>
  </si>
  <si>
    <t>Blasting is not regionalized - We continue to rely in a GLO market - It has emissions to the air, which would be interesting to assess regionaly</t>
  </si>
  <si>
    <t>Boron and borates</t>
  </si>
  <si>
    <t>Pidgeon route demands dolomite above 1 kg // Electrolysis route has a low demand of dolomite or magnesium in ground</t>
  </si>
  <si>
    <t>Mine infrastructure and recultation markets were not succesfully created /// The problem is in the Unit. These two are not kilogram but unit and square meter // Discuss with Romain if we want to regionalize recultivation and mine consrtuction activities</t>
  </si>
  <si>
    <t>We leave the Chinese share (4.16%) aside. In Ecoinvent, it follows a different route (nickel concentrate 7%). It is finally accounted for in the nickel refining phase</t>
  </si>
  <si>
    <t>Potash</t>
  </si>
  <si>
    <t>Rare earths</t>
  </si>
  <si>
    <t>Sand and silica sand</t>
  </si>
  <si>
    <t>Silicon metal</t>
  </si>
  <si>
    <t>Zircon</t>
  </si>
  <si>
    <t>I have made changes to the ecoinvent original inputs to be consistent with our new shares.</t>
  </si>
  <si>
    <t>In Ecoinvent, China doesn't produce titanium from rutile but from titania slag. Are we ok with that?</t>
  </si>
  <si>
    <t>lithium carbonate production, from concentrated brine</t>
  </si>
  <si>
    <t>I have to regionalize all the options! Not only the ones I am using. Otherwise the background will be wrrrong</t>
  </si>
  <si>
    <t>Bolivia and Brazil take the original inventory from Ecoinvent. The additional inventories were not suitable for regionalization</t>
  </si>
  <si>
    <t>cobalt</t>
  </si>
  <si>
    <t>cobalt metal production, from copper mining, via electrolysis, economic allocation</t>
  </si>
  <si>
    <t>van der Meide et al. (2022)</t>
  </si>
  <si>
    <t>https://pubs.usgs.gov/of/2017/1155/ofr20171155.pdf</t>
  </si>
  <si>
    <t>Laterite</t>
  </si>
  <si>
    <t>Sulfide</t>
  </si>
  <si>
    <t>It is not really sulfide. It is the only one with an alternative path. I take sulfide as proxy</t>
  </si>
  <si>
    <t>ASK ROMAIN ABOUT MARC'S PAPER AND THE DIFFERENT ROUTES THERE EXPLAINED</t>
  </si>
  <si>
    <t>I have modified the LCI. I have created a market for copper-cobalt ore to facilitate the regionalization // cobalt production (GLO) still has 2 downstream consumers // Implement the 3 different routes</t>
  </si>
  <si>
    <t>graphite ore mining</t>
  </si>
  <si>
    <t>graphite ore, mined</t>
  </si>
  <si>
    <t>graphite production</t>
  </si>
  <si>
    <t>graphite</t>
  </si>
  <si>
    <t>https://hcss.nl/wp-content/uploads/2022/03/Graphite-Challenges-and-Recommendations-HCSS-2022.pdf</t>
  </si>
  <si>
    <t>As in cobalt, I have modified original LCI to use markets for graphite, mined</t>
  </si>
  <si>
    <t>South Korea</t>
  </si>
  <si>
    <t>Share from BNEF</t>
  </si>
  <si>
    <t>Year 2022</t>
  </si>
  <si>
    <t>Year 2023</t>
  </si>
  <si>
    <t>Year 2024</t>
  </si>
  <si>
    <t>Year 2025</t>
  </si>
  <si>
    <t>Year 2026</t>
  </si>
  <si>
    <t>Year 2027</t>
  </si>
  <si>
    <t>Year 2028</t>
  </si>
  <si>
    <t>Year 2029</t>
  </si>
  <si>
    <t>Year 2030</t>
  </si>
  <si>
    <t>lanthanum-cerium oxide</t>
  </si>
  <si>
    <t>aluminium, cast alloy</t>
  </si>
  <si>
    <t>aluminium ingot, primary, to aluminium, cast alloy market</t>
  </si>
  <si>
    <t>It comes from the European report</t>
  </si>
  <si>
    <t>ruthenium</t>
  </si>
  <si>
    <t>lithium hydroxide, battery grade</t>
  </si>
  <si>
    <t>lithium hydroxide production, battery grade</t>
  </si>
  <si>
    <t>scandium oxide</t>
  </si>
  <si>
    <t>European report</t>
  </si>
  <si>
    <t>vanadium bearing magnetite production</t>
  </si>
  <si>
    <t>vanadium pentoxide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</si>
</sst>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u/>
      <sz val="11"/>
      <color theme="10"/>
      <name val="Calibri"/>
      <family val="2"/>
      <scheme val="minor"/>
    </font>
    <font>
      <sz val="12"/>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A5A5A5"/>
      </patternFill>
    </fill>
    <fill>
      <patternFill patternType="solid">
        <fgColor theme="8" tint="0.7999816888943144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6" tint="0.39997558519241921"/>
        <bgColor indexed="64"/>
      </patternFill>
    </fill>
  </fills>
  <borders count="6">
    <border>
      <left/>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int="0.39997558519241921"/>
      </top>
      <bottom style="thin">
        <color theme="4" tint="0.399975585192419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8">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6" borderId="2" applyNumberFormat="0" applyAlignment="0" applyProtection="0"/>
    <xf numFmtId="0" fontId="7" fillId="0" borderId="0" applyNumberFormat="0" applyFill="0" applyBorder="0" applyAlignment="0" applyProtection="0"/>
    <xf numFmtId="0" fontId="8" fillId="0" borderId="0"/>
  </cellStyleXfs>
  <cellXfs count="47">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0" fontId="0" fillId="0" borderId="0" xfId="0" applyFont="1"/>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xf numFmtId="9" fontId="0" fillId="0" borderId="0" xfId="1" applyNumberFormat="1" applyFont="1"/>
    <xf numFmtId="0" fontId="1" fillId="0" borderId="0" xfId="0" applyFont="1" applyBorder="1" applyAlignment="1">
      <alignment horizontal="center" vertical="top"/>
    </xf>
    <xf numFmtId="10" fontId="2" fillId="0" borderId="0" xfId="1" applyNumberFormat="1" applyFont="1" applyBorder="1" applyAlignment="1">
      <alignment horizontal="right" vertical="top"/>
    </xf>
    <xf numFmtId="0" fontId="0" fillId="0" borderId="0" xfId="0" applyFont="1" applyBorder="1" applyAlignment="1">
      <alignment horizontal="left" vertical="center"/>
    </xf>
    <xf numFmtId="0" fontId="0" fillId="0" borderId="0" xfId="0" applyFont="1" applyBorder="1" applyAlignment="1">
      <alignment horizontal="left" vertical="top"/>
    </xf>
    <xf numFmtId="0" fontId="7" fillId="0" borderId="0" xfId="6"/>
    <xf numFmtId="0" fontId="6" fillId="6" borderId="2" xfId="5"/>
    <xf numFmtId="0" fontId="0" fillId="0" borderId="0" xfId="0" applyFill="1" applyBorder="1"/>
    <xf numFmtId="0" fontId="8" fillId="0" borderId="0" xfId="7" applyNumberFormat="1"/>
    <xf numFmtId="0" fontId="0" fillId="0" borderId="0" xfId="0" applyNumberFormat="1"/>
    <xf numFmtId="0" fontId="8" fillId="0" borderId="3" xfId="7" applyNumberFormat="1" applyFont="1" applyBorder="1" applyAlignment="1"/>
    <xf numFmtId="0" fontId="8" fillId="0" borderId="0" xfId="7" applyNumberFormat="1" applyBorder="1"/>
    <xf numFmtId="0" fontId="0" fillId="0" borderId="0" xfId="0" applyNumberFormat="1" applyBorder="1"/>
    <xf numFmtId="0" fontId="0" fillId="0" borderId="0" xfId="0" applyBorder="1"/>
    <xf numFmtId="10" fontId="0" fillId="0" borderId="0" xfId="1" applyNumberFormat="1" applyFont="1" applyFill="1"/>
    <xf numFmtId="0" fontId="0" fillId="0" borderId="0" xfId="0" applyAlignment="1"/>
    <xf numFmtId="0" fontId="0" fillId="7" borderId="0" xfId="0" applyFill="1" applyAlignment="1">
      <alignment wrapText="1"/>
    </xf>
    <xf numFmtId="0" fontId="0" fillId="0" borderId="0" xfId="0" applyFill="1"/>
    <xf numFmtId="0" fontId="0" fillId="8" borderId="4" xfId="0" applyFont="1" applyFill="1" applyBorder="1"/>
    <xf numFmtId="0" fontId="0" fillId="8" borderId="5" xfId="0" applyFont="1" applyFill="1" applyBorder="1"/>
    <xf numFmtId="0" fontId="0" fillId="9" borderId="4" xfId="0" applyFont="1" applyFill="1" applyBorder="1"/>
    <xf numFmtId="0" fontId="0" fillId="9" borderId="5" xfId="0" applyFont="1" applyFill="1" applyBorder="1"/>
    <xf numFmtId="0" fontId="1" fillId="0" borderId="1" xfId="1" applyNumberFormat="1" applyFont="1" applyBorder="1" applyAlignment="1">
      <alignment horizontal="center" vertical="top"/>
    </xf>
    <xf numFmtId="0" fontId="0" fillId="10" borderId="0" xfId="0" applyFill="1"/>
    <xf numFmtId="10" fontId="0" fillId="10" borderId="0" xfId="1" applyNumberFormat="1" applyFont="1" applyFill="1"/>
    <xf numFmtId="11" fontId="0" fillId="10" borderId="0" xfId="0" applyNumberFormat="1" applyFill="1"/>
  </cellXfs>
  <cellStyles count="8">
    <cellStyle name="Bad" xfId="3" builtinId="27"/>
    <cellStyle name="Check Cell" xfId="5" builtinId="23"/>
    <cellStyle name="Good" xfId="2" builtinId="26"/>
    <cellStyle name="Hyperlink" xfId="6" builtinId="8"/>
    <cellStyle name="Neutral" xfId="4" builtinId="28"/>
    <cellStyle name="Normal" xfId="0" builtinId="0"/>
    <cellStyle name="Normal 2" xfId="7" xr:uid="{00000000-0005-0000-0000-000006000000}"/>
    <cellStyle name="Percent" xfId="1" builtinId="5"/>
  </cellStyles>
  <dxfs count="44">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rgb="FF92D050"/>
        </patternFill>
      </fill>
    </dxf>
    <dxf>
      <fill>
        <patternFill>
          <bgColor theme="5" tint="0.39994506668294322"/>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85725</xdr:rowOff>
    </xdr:from>
    <xdr:to>
      <xdr:col>10</xdr:col>
      <xdr:colOff>315220</xdr:colOff>
      <xdr:row>24</xdr:row>
      <xdr:rowOff>95863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76225"/>
          <a:ext cx="6411220" cy="4391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14</xdr:col>
      <xdr:colOff>468287</xdr:colOff>
      <xdr:row>41</xdr:row>
      <xdr:rowOff>48693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209550"/>
          <a:ext cx="11193437" cy="7649643"/>
        </a:xfrm>
        <a:prstGeom prst="rect">
          <a:avLst/>
        </a:prstGeom>
      </xdr:spPr>
    </xdr:pic>
    <xdr:clientData/>
  </xdr:twoCellAnchor>
  <xdr:twoCellAnchor editAs="oneCell">
    <xdr:from>
      <xdr:col>15</xdr:col>
      <xdr:colOff>95250</xdr:colOff>
      <xdr:row>3</xdr:row>
      <xdr:rowOff>142875</xdr:rowOff>
    </xdr:from>
    <xdr:to>
      <xdr:col>33</xdr:col>
      <xdr:colOff>277782</xdr:colOff>
      <xdr:row>40</xdr:row>
      <xdr:rowOff>10490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430000" y="714375"/>
          <a:ext cx="11155332" cy="6916115"/>
        </a:xfrm>
        <a:prstGeom prst="rect">
          <a:avLst/>
        </a:prstGeom>
      </xdr:spPr>
    </xdr:pic>
    <xdr:clientData/>
  </xdr:twoCellAnchor>
  <xdr:twoCellAnchor editAs="oneCell">
    <xdr:from>
      <xdr:col>23</xdr:col>
      <xdr:colOff>19050</xdr:colOff>
      <xdr:row>40</xdr:row>
      <xdr:rowOff>109976</xdr:rowOff>
    </xdr:from>
    <xdr:to>
      <xdr:col>35</xdr:col>
      <xdr:colOff>419100</xdr:colOff>
      <xdr:row>64</xdr:row>
      <xdr:rowOff>77125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6230600" y="7729976"/>
          <a:ext cx="7715250" cy="4539149"/>
        </a:xfrm>
        <a:prstGeom prst="rect">
          <a:avLst/>
        </a:prstGeom>
      </xdr:spPr>
    </xdr:pic>
    <xdr:clientData/>
  </xdr:twoCellAnchor>
  <xdr:twoCellAnchor editAs="oneCell">
    <xdr:from>
      <xdr:col>11</xdr:col>
      <xdr:colOff>381000</xdr:colOff>
      <xdr:row>40</xdr:row>
      <xdr:rowOff>142875</xdr:rowOff>
    </xdr:from>
    <xdr:to>
      <xdr:col>22</xdr:col>
      <xdr:colOff>455250</xdr:colOff>
      <xdr:row>61</xdr:row>
      <xdr:rowOff>162849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9277350" y="7762875"/>
          <a:ext cx="6779850" cy="40204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1</xdr:row>
      <xdr:rowOff>66675</xdr:rowOff>
    </xdr:from>
    <xdr:to>
      <xdr:col>25</xdr:col>
      <xdr:colOff>448925</xdr:colOff>
      <xdr:row>37</xdr:row>
      <xdr:rowOff>115264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734175" y="257175"/>
          <a:ext cx="8954750" cy="69065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456" totalsRowShown="0" headerRowDxfId="43" headerRowBorderDxfId="42" tableBorderDxfId="41">
  <autoFilter ref="A1:R3456" xr:uid="{00000000-0009-0000-0100-000001000000}"/>
  <tableColumns count="18">
    <tableColumn id="1" xr3:uid="{00000000-0010-0000-0000-000001000000}" name="Metal"/>
    <tableColumn id="2" xr3:uid="{00000000-0010-0000-0000-000002000000}" name="Country"/>
    <tableColumn id="14" xr3:uid="{00000000-0010-0000-0000-00000E000000}" name="Year 2020" dataDxfId="40" dataCellStyle="Percent"/>
    <tableColumn id="3" xr3:uid="{00000000-0010-0000-0000-000003000000}" name="Year 2021" dataDxfId="39" dataCellStyle="Percent"/>
    <tableColumn id="4" xr3:uid="{00000000-0010-0000-0000-000004000000}" name="Year 2022" dataDxfId="38" dataCellStyle="Percent"/>
    <tableColumn id="5" xr3:uid="{00000000-0010-0000-0000-000005000000}" name="Year 2023" dataDxfId="37" dataCellStyle="Percent"/>
    <tableColumn id="6" xr3:uid="{00000000-0010-0000-0000-000006000000}" name="Year 2024" dataDxfId="36" dataCellStyle="Percent"/>
    <tableColumn id="7" xr3:uid="{00000000-0010-0000-0000-000007000000}" name="Year 2025" dataDxfId="35" dataCellStyle="Percent"/>
    <tableColumn id="8" xr3:uid="{00000000-0010-0000-0000-000008000000}" name="Year 2026" dataDxfId="34" dataCellStyle="Percent"/>
    <tableColumn id="9" xr3:uid="{00000000-0010-0000-0000-000009000000}" name="Year 2027" dataDxfId="33" dataCellStyle="Percent"/>
    <tableColumn id="10" xr3:uid="{00000000-0010-0000-0000-00000A000000}" name="Year 2028" dataDxfId="32" dataCellStyle="Percent"/>
    <tableColumn id="11" xr3:uid="{00000000-0010-0000-0000-00000B000000}" name="Year 2029" dataDxfId="31" dataCellStyle="Percent"/>
    <tableColumn id="12" xr3:uid="{00000000-0010-0000-0000-00000C000000}" name="Year 2030" dataDxfId="30" dataCellStyle="Percent"/>
    <tableColumn id="15" xr3:uid="{00000000-0010-0000-0000-00000F000000}" name="Region"/>
    <tableColumn id="16" xr3:uid="{00000000-0010-0000-0000-000010000000}" name="Process"/>
    <tableColumn id="17" xr3:uid="{00000000-0010-0000-0000-000011000000}" name="Reference product"/>
    <tableColumn id="18" xr3:uid="{00000000-0010-0000-0000-000012000000}" name="Work done"/>
    <tableColumn id="19" xr3:uid="{00000000-0010-0000-0000-000013000000}" name="Comme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N1507" totalsRowShown="0" headerRowDxfId="2" headerRowBorderDxfId="1" tableBorderDxfId="0">
  <autoFilter ref="A1:N1507" xr:uid="{00000000-0009-0000-0100-000002000000}">
    <filterColumn colId="0">
      <filters>
        <filter val="Lithium, minerals"/>
      </filters>
    </filterColumn>
  </autoFilter>
  <sortState xmlns:xlrd2="http://schemas.microsoft.com/office/spreadsheetml/2017/richdata2" ref="A2:N1507">
    <sortCondition descending="1" ref="A1:A1507"/>
  </sortState>
  <tableColumns count="14">
    <tableColumn id="1" xr3:uid="{00000000-0010-0000-0100-000001000000}" name="Metal"/>
    <tableColumn id="2" xr3:uid="{00000000-0010-0000-0100-000002000000}" name="Country"/>
    <tableColumn id="3" xr3:uid="{00000000-0010-0000-0100-000003000000}" name="Year 2012"/>
    <tableColumn id="4" xr3:uid="{00000000-0010-0000-0100-000004000000}" name="Year 2013"/>
    <tableColumn id="5" xr3:uid="{00000000-0010-0000-0100-000005000000}" name="Year 2014"/>
    <tableColumn id="6" xr3:uid="{00000000-0010-0000-0100-000006000000}" name="Year 2015"/>
    <tableColumn id="7" xr3:uid="{00000000-0010-0000-0100-000007000000}" name="Year 2016"/>
    <tableColumn id="8" xr3:uid="{00000000-0010-0000-0100-000008000000}" name="Year 2017"/>
    <tableColumn id="9" xr3:uid="{00000000-0010-0000-0100-000009000000}" name="Year 2018"/>
    <tableColumn id="10" xr3:uid="{00000000-0010-0000-0100-00000A000000}" name="Year 2019"/>
    <tableColumn id="11" xr3:uid="{00000000-0010-0000-0100-00000B000000}" name="Year 2020"/>
    <tableColumn id="12" xr3:uid="{00000000-0010-0000-0100-00000C000000}" name="Year 2021"/>
    <tableColumn id="13" xr3:uid="{00000000-0010-0000-0100-00000D000000}" name="Sum_2017_2021"/>
    <tableColumn id="14" xr3:uid="{00000000-0010-0000-0100-00000E000000}" name="Share_2017_2021" dataCellStyle="Perc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pubs.acs.org/doi/full/10.1021/acs.est.8b0207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i.org/10.1016/j.jclepro.2021.1299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rmis.jrc.ec.europa.eu/rmp/Niobium%20%20provides%20slightly%20more%20detailed%20information%20on%20the%20refining.%20The%20changes%20are%20not%20significat%20and%20we%20keep%20the%20shares%20constan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pubs.usgs.gov/of/2017/1155/ofr20171155.pdf"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56"/>
  <sheetViews>
    <sheetView tabSelected="1" topLeftCell="A1617" zoomScale="70" zoomScaleNormal="70" workbookViewId="0">
      <selection activeCell="P1641" sqref="P1641"/>
    </sheetView>
  </sheetViews>
  <sheetFormatPr defaultRowHeight="15" x14ac:dyDescent="0.25"/>
  <cols>
    <col min="1" max="1" width="47.42578125" bestFit="1" customWidth="1"/>
    <col min="2" max="2" width="26.28515625" bestFit="1" customWidth="1"/>
    <col min="3" max="3" width="20.7109375" style="4" bestFit="1" customWidth="1"/>
    <col min="4" max="13" width="20.7109375" style="4" customWidth="1"/>
    <col min="14" max="14" width="36.28515625" bestFit="1" customWidth="1"/>
    <col min="15" max="15" width="84" bestFit="1" customWidth="1"/>
    <col min="16" max="16" width="47.42578125" bestFit="1" customWidth="1"/>
    <col min="17" max="17" width="18.140625" bestFit="1" customWidth="1"/>
    <col min="18" max="18" width="255.7109375" bestFit="1" customWidth="1"/>
    <col min="21" max="21" width="11.5703125" bestFit="1" customWidth="1"/>
  </cols>
  <sheetData>
    <row r="1" spans="1:18" x14ac:dyDescent="0.25">
      <c r="A1" s="1" t="s">
        <v>0</v>
      </c>
      <c r="B1" s="1" t="s">
        <v>1</v>
      </c>
      <c r="C1" s="43" t="s">
        <v>10</v>
      </c>
      <c r="D1" s="43" t="s">
        <v>11</v>
      </c>
      <c r="E1" s="43" t="s">
        <v>790</v>
      </c>
      <c r="F1" s="43" t="s">
        <v>791</v>
      </c>
      <c r="G1" s="43" t="s">
        <v>792</v>
      </c>
      <c r="H1" s="43" t="s">
        <v>793</v>
      </c>
      <c r="I1" s="43" t="s">
        <v>794</v>
      </c>
      <c r="J1" s="43" t="s">
        <v>795</v>
      </c>
      <c r="K1" s="43" t="s">
        <v>796</v>
      </c>
      <c r="L1" s="43" t="s">
        <v>797</v>
      </c>
      <c r="M1" s="43" t="s">
        <v>798</v>
      </c>
      <c r="N1" s="1" t="s">
        <v>237</v>
      </c>
      <c r="O1" s="1" t="s">
        <v>238</v>
      </c>
      <c r="P1" s="1" t="s">
        <v>239</v>
      </c>
      <c r="Q1" s="1" t="s">
        <v>240</v>
      </c>
      <c r="R1" s="1" t="s">
        <v>241</v>
      </c>
    </row>
    <row r="2" spans="1:18" x14ac:dyDescent="0.25">
      <c r="A2" s="6" t="s">
        <v>558</v>
      </c>
      <c r="B2" t="s">
        <v>83</v>
      </c>
      <c r="C2" s="23">
        <v>2.4485903618719711E-2</v>
      </c>
      <c r="D2" s="23">
        <v>2.4485903618719711E-2</v>
      </c>
      <c r="E2" s="23">
        <v>2.4485903618719711E-2</v>
      </c>
      <c r="F2" s="23">
        <v>2.4485903618719711E-2</v>
      </c>
      <c r="G2" s="23">
        <v>2.4485903618719711E-2</v>
      </c>
      <c r="H2" s="23">
        <v>2.4485903618719711E-2</v>
      </c>
      <c r="I2" s="23">
        <v>2.4485903618719711E-2</v>
      </c>
      <c r="J2" s="23">
        <v>2.4485903618719711E-2</v>
      </c>
      <c r="K2" s="23">
        <v>2.4485903618719711E-2</v>
      </c>
      <c r="L2" s="23">
        <v>2.4485903618719711E-2</v>
      </c>
      <c r="M2" s="23">
        <v>2.4485903618719711E-2</v>
      </c>
      <c r="N2" s="24" t="s">
        <v>254</v>
      </c>
      <c r="O2" s="24" t="s">
        <v>557</v>
      </c>
      <c r="P2" s="24" t="s">
        <v>558</v>
      </c>
      <c r="Q2" s="24" t="s">
        <v>245</v>
      </c>
      <c r="R2" s="25" t="s">
        <v>589</v>
      </c>
    </row>
    <row r="3" spans="1:18" x14ac:dyDescent="0.25">
      <c r="A3" s="6" t="s">
        <v>558</v>
      </c>
      <c r="B3" t="s">
        <v>144</v>
      </c>
      <c r="C3" s="23">
        <v>2.1299331438880308E-2</v>
      </c>
      <c r="D3" s="23">
        <v>2.1299331438880308E-2</v>
      </c>
      <c r="E3" s="23">
        <v>2.1299331438880308E-2</v>
      </c>
      <c r="F3" s="23">
        <v>2.1299331438880308E-2</v>
      </c>
      <c r="G3" s="23">
        <v>2.1299331438880308E-2</v>
      </c>
      <c r="H3" s="23">
        <v>2.1299331438880308E-2</v>
      </c>
      <c r="I3" s="23">
        <v>2.1299331438880308E-2</v>
      </c>
      <c r="J3" s="23">
        <v>2.1299331438880308E-2</v>
      </c>
      <c r="K3" s="23">
        <v>2.1299331438880308E-2</v>
      </c>
      <c r="L3" s="23">
        <v>2.1299331438880308E-2</v>
      </c>
      <c r="M3" s="23">
        <v>2.1299331438880308E-2</v>
      </c>
      <c r="N3" s="24" t="s">
        <v>254</v>
      </c>
      <c r="O3" s="24" t="s">
        <v>557</v>
      </c>
      <c r="P3" s="24" t="s">
        <v>558</v>
      </c>
      <c r="Q3" s="24" t="s">
        <v>245</v>
      </c>
      <c r="R3" s="22"/>
    </row>
    <row r="4" spans="1:18" x14ac:dyDescent="0.25">
      <c r="A4" s="6" t="s">
        <v>558</v>
      </c>
      <c r="B4" t="s">
        <v>116</v>
      </c>
      <c r="C4" s="23">
        <v>2.5056302986711318E-5</v>
      </c>
      <c r="D4" s="23">
        <v>2.5056302986711318E-5</v>
      </c>
      <c r="E4" s="23">
        <v>2.5056302986711318E-5</v>
      </c>
      <c r="F4" s="23">
        <v>2.5056302986711318E-5</v>
      </c>
      <c r="G4" s="23">
        <v>2.5056302986711318E-5</v>
      </c>
      <c r="H4" s="23">
        <v>2.5056302986711318E-5</v>
      </c>
      <c r="I4" s="23">
        <v>2.5056302986711318E-5</v>
      </c>
      <c r="J4" s="23">
        <v>2.5056302986711318E-5</v>
      </c>
      <c r="K4" s="23">
        <v>2.5056302986711318E-5</v>
      </c>
      <c r="L4" s="23">
        <v>2.5056302986711318E-5</v>
      </c>
      <c r="M4" s="23">
        <v>2.5056302986711318E-5</v>
      </c>
      <c r="N4" s="24" t="s">
        <v>254</v>
      </c>
      <c r="O4" s="24" t="s">
        <v>557</v>
      </c>
      <c r="P4" s="24" t="s">
        <v>558</v>
      </c>
      <c r="Q4" s="24" t="s">
        <v>245</v>
      </c>
      <c r="R4" s="22"/>
    </row>
    <row r="5" spans="1:18" x14ac:dyDescent="0.25">
      <c r="A5" s="6" t="s">
        <v>558</v>
      </c>
      <c r="B5" t="s">
        <v>86</v>
      </c>
      <c r="C5" s="23">
        <v>0.52590969118843522</v>
      </c>
      <c r="D5" s="23">
        <v>0.52590969118843522</v>
      </c>
      <c r="E5" s="23">
        <v>0.52590969118843522</v>
      </c>
      <c r="F5" s="23">
        <v>0.52590969118843522</v>
      </c>
      <c r="G5" s="23">
        <v>0.52590969118843522</v>
      </c>
      <c r="H5" s="23">
        <v>0.52590969118843522</v>
      </c>
      <c r="I5" s="23">
        <v>0.52590969118843522</v>
      </c>
      <c r="J5" s="23">
        <v>0.52590969118843522</v>
      </c>
      <c r="K5" s="23">
        <v>0.52590969118843522</v>
      </c>
      <c r="L5" s="23">
        <v>0.52590969118843522</v>
      </c>
      <c r="M5" s="23">
        <v>0.52590969118843522</v>
      </c>
      <c r="N5" s="24" t="s">
        <v>254</v>
      </c>
      <c r="O5" s="24" t="s">
        <v>557</v>
      </c>
      <c r="P5" s="24" t="s">
        <v>558</v>
      </c>
      <c r="Q5" s="24" t="s">
        <v>245</v>
      </c>
      <c r="R5" s="22"/>
    </row>
    <row r="6" spans="1:18" x14ac:dyDescent="0.25">
      <c r="A6" s="6" t="s">
        <v>558</v>
      </c>
      <c r="B6" t="s">
        <v>167</v>
      </c>
      <c r="C6" s="23">
        <v>3.8468794585480316E-4</v>
      </c>
      <c r="D6" s="23">
        <v>3.8468794585480316E-4</v>
      </c>
      <c r="E6" s="23">
        <v>3.8468794585480316E-4</v>
      </c>
      <c r="F6" s="23">
        <v>3.8468794585480316E-4</v>
      </c>
      <c r="G6" s="23">
        <v>3.8468794585480316E-4</v>
      </c>
      <c r="H6" s="23">
        <v>3.8468794585480316E-4</v>
      </c>
      <c r="I6" s="23">
        <v>3.8468794585480316E-4</v>
      </c>
      <c r="J6" s="23">
        <v>3.8468794585480316E-4</v>
      </c>
      <c r="K6" s="23">
        <v>3.8468794585480316E-4</v>
      </c>
      <c r="L6" s="23">
        <v>3.8468794585480316E-4</v>
      </c>
      <c r="M6" s="23">
        <v>3.8468794585480316E-4</v>
      </c>
      <c r="N6" s="24" t="s">
        <v>254</v>
      </c>
      <c r="O6" s="24" t="s">
        <v>557</v>
      </c>
      <c r="P6" s="24" t="s">
        <v>558</v>
      </c>
      <c r="Q6" s="24" t="s">
        <v>245</v>
      </c>
      <c r="R6" s="22"/>
    </row>
    <row r="7" spans="1:18" x14ac:dyDescent="0.25">
      <c r="A7" s="6" t="s">
        <v>558</v>
      </c>
      <c r="B7" t="s">
        <v>196</v>
      </c>
      <c r="C7" s="23">
        <v>2.3582402811022415E-4</v>
      </c>
      <c r="D7" s="23">
        <v>2.3582402811022415E-4</v>
      </c>
      <c r="E7" s="23">
        <v>2.3582402811022415E-4</v>
      </c>
      <c r="F7" s="23">
        <v>2.3582402811022415E-4</v>
      </c>
      <c r="G7" s="23">
        <v>2.3582402811022415E-4</v>
      </c>
      <c r="H7" s="23">
        <v>2.3582402811022415E-4</v>
      </c>
      <c r="I7" s="23">
        <v>2.3582402811022415E-4</v>
      </c>
      <c r="J7" s="23">
        <v>2.3582402811022415E-4</v>
      </c>
      <c r="K7" s="23">
        <v>2.3582402811022415E-4</v>
      </c>
      <c r="L7" s="23">
        <v>2.3582402811022415E-4</v>
      </c>
      <c r="M7" s="23">
        <v>2.3582402811022415E-4</v>
      </c>
      <c r="N7" s="24" t="s">
        <v>254</v>
      </c>
      <c r="O7" s="24" t="s">
        <v>557</v>
      </c>
      <c r="P7" s="24" t="s">
        <v>558</v>
      </c>
      <c r="Q7" s="24" t="s">
        <v>245</v>
      </c>
      <c r="R7" s="22"/>
    </row>
    <row r="8" spans="1:18" x14ac:dyDescent="0.25">
      <c r="A8" s="6" t="s">
        <v>558</v>
      </c>
      <c r="B8" t="s">
        <v>197</v>
      </c>
      <c r="C8" s="23">
        <v>2.4171962881297976E-4</v>
      </c>
      <c r="D8" s="23">
        <v>2.4171962881297976E-4</v>
      </c>
      <c r="E8" s="23">
        <v>2.4171962881297976E-4</v>
      </c>
      <c r="F8" s="23">
        <v>2.4171962881297976E-4</v>
      </c>
      <c r="G8" s="23">
        <v>2.4171962881297976E-4</v>
      </c>
      <c r="H8" s="23">
        <v>2.4171962881297976E-4</v>
      </c>
      <c r="I8" s="23">
        <v>2.4171962881297976E-4</v>
      </c>
      <c r="J8" s="23">
        <v>2.4171962881297976E-4</v>
      </c>
      <c r="K8" s="23">
        <v>2.4171962881297976E-4</v>
      </c>
      <c r="L8" s="23">
        <v>2.4171962881297976E-4</v>
      </c>
      <c r="M8" s="23">
        <v>2.4171962881297976E-4</v>
      </c>
      <c r="N8" s="24" t="s">
        <v>254</v>
      </c>
      <c r="O8" s="24" t="s">
        <v>557</v>
      </c>
      <c r="P8" s="24" t="s">
        <v>558</v>
      </c>
      <c r="Q8" s="24" t="s">
        <v>245</v>
      </c>
      <c r="R8" s="22"/>
    </row>
    <row r="9" spans="1:18" x14ac:dyDescent="0.25">
      <c r="A9" s="6" t="s">
        <v>558</v>
      </c>
      <c r="B9" t="s">
        <v>99</v>
      </c>
      <c r="C9" s="23">
        <v>2.993491256824158E-2</v>
      </c>
      <c r="D9" s="23">
        <v>2.993491256824158E-2</v>
      </c>
      <c r="E9" s="23">
        <v>2.993491256824158E-2</v>
      </c>
      <c r="F9" s="23">
        <v>2.993491256824158E-2</v>
      </c>
      <c r="G9" s="23">
        <v>2.993491256824158E-2</v>
      </c>
      <c r="H9" s="23">
        <v>2.993491256824158E-2</v>
      </c>
      <c r="I9" s="23">
        <v>2.993491256824158E-2</v>
      </c>
      <c r="J9" s="23">
        <v>2.993491256824158E-2</v>
      </c>
      <c r="K9" s="23">
        <v>2.993491256824158E-2</v>
      </c>
      <c r="L9" s="23">
        <v>2.993491256824158E-2</v>
      </c>
      <c r="M9" s="23">
        <v>2.993491256824158E-2</v>
      </c>
      <c r="N9" s="24" t="s">
        <v>254</v>
      </c>
      <c r="O9" s="24" t="s">
        <v>557</v>
      </c>
      <c r="P9" s="24" t="s">
        <v>558</v>
      </c>
      <c r="Q9" s="24" t="s">
        <v>245</v>
      </c>
      <c r="R9" s="22"/>
    </row>
    <row r="10" spans="1:18" x14ac:dyDescent="0.25">
      <c r="A10" s="6" t="s">
        <v>558</v>
      </c>
      <c r="B10" t="s">
        <v>102</v>
      </c>
      <c r="C10" s="23">
        <v>4.7164805622044829E-4</v>
      </c>
      <c r="D10" s="23">
        <v>4.7164805622044829E-4</v>
      </c>
      <c r="E10" s="23">
        <v>4.7164805622044829E-4</v>
      </c>
      <c r="F10" s="23">
        <v>4.7164805622044829E-4</v>
      </c>
      <c r="G10" s="23">
        <v>4.7164805622044829E-4</v>
      </c>
      <c r="H10" s="23">
        <v>4.7164805622044829E-4</v>
      </c>
      <c r="I10" s="23">
        <v>4.7164805622044829E-4</v>
      </c>
      <c r="J10" s="23">
        <v>4.7164805622044829E-4</v>
      </c>
      <c r="K10" s="23">
        <v>4.7164805622044829E-4</v>
      </c>
      <c r="L10" s="23">
        <v>4.7164805622044829E-4</v>
      </c>
      <c r="M10" s="23">
        <v>4.7164805622044829E-4</v>
      </c>
      <c r="N10" s="24" t="s">
        <v>254</v>
      </c>
      <c r="O10" s="24" t="s">
        <v>557</v>
      </c>
      <c r="P10" s="24" t="s">
        <v>558</v>
      </c>
      <c r="Q10" s="24" t="s">
        <v>245</v>
      </c>
      <c r="R10" s="22"/>
    </row>
    <row r="11" spans="1:18" x14ac:dyDescent="0.25">
      <c r="A11" s="6" t="s">
        <v>558</v>
      </c>
      <c r="B11" t="s">
        <v>170</v>
      </c>
      <c r="C11" s="23">
        <v>3.1099293707035811E-3</v>
      </c>
      <c r="D11" s="23">
        <v>3.1099293707035811E-3</v>
      </c>
      <c r="E11" s="23">
        <v>3.1099293707035811E-3</v>
      </c>
      <c r="F11" s="23">
        <v>3.1099293707035811E-3</v>
      </c>
      <c r="G11" s="23">
        <v>3.1099293707035811E-3</v>
      </c>
      <c r="H11" s="23">
        <v>3.1099293707035811E-3</v>
      </c>
      <c r="I11" s="23">
        <v>3.1099293707035811E-3</v>
      </c>
      <c r="J11" s="23">
        <v>3.1099293707035811E-3</v>
      </c>
      <c r="K11" s="23">
        <v>3.1099293707035811E-3</v>
      </c>
      <c r="L11" s="23">
        <v>3.1099293707035811E-3</v>
      </c>
      <c r="M11" s="23">
        <v>3.1099293707035811E-3</v>
      </c>
      <c r="N11" s="24" t="s">
        <v>254</v>
      </c>
      <c r="O11" s="24" t="s">
        <v>557</v>
      </c>
      <c r="P11" s="24" t="s">
        <v>558</v>
      </c>
      <c r="Q11" s="24" t="s">
        <v>245</v>
      </c>
      <c r="R11" s="22"/>
    </row>
    <row r="12" spans="1:18" x14ac:dyDescent="0.25">
      <c r="A12" s="6" t="s">
        <v>558</v>
      </c>
      <c r="B12" t="s">
        <v>171</v>
      </c>
      <c r="C12" s="23">
        <v>9.3150491103538536E-4</v>
      </c>
      <c r="D12" s="23">
        <v>9.3150491103538536E-4</v>
      </c>
      <c r="E12" s="23">
        <v>9.3150491103538536E-4</v>
      </c>
      <c r="F12" s="23">
        <v>9.3150491103538536E-4</v>
      </c>
      <c r="G12" s="23">
        <v>9.3150491103538536E-4</v>
      </c>
      <c r="H12" s="23">
        <v>9.3150491103538536E-4</v>
      </c>
      <c r="I12" s="23">
        <v>9.3150491103538536E-4</v>
      </c>
      <c r="J12" s="23">
        <v>9.3150491103538536E-4</v>
      </c>
      <c r="K12" s="23">
        <v>9.3150491103538536E-4</v>
      </c>
      <c r="L12" s="23">
        <v>9.3150491103538536E-4</v>
      </c>
      <c r="M12" s="23">
        <v>9.3150491103538536E-4</v>
      </c>
      <c r="N12" s="24" t="s">
        <v>254</v>
      </c>
      <c r="O12" s="24" t="s">
        <v>557</v>
      </c>
      <c r="P12" s="24" t="s">
        <v>558</v>
      </c>
      <c r="Q12" s="24" t="s">
        <v>245</v>
      </c>
      <c r="R12" s="22"/>
    </row>
    <row r="13" spans="1:18" x14ac:dyDescent="0.25">
      <c r="A13" s="6" t="s">
        <v>558</v>
      </c>
      <c r="B13" t="s">
        <v>150</v>
      </c>
      <c r="C13" s="23">
        <v>2.0310344420993057E-3</v>
      </c>
      <c r="D13" s="23">
        <v>2.0310344420993057E-3</v>
      </c>
      <c r="E13" s="23">
        <v>2.0310344420993057E-3</v>
      </c>
      <c r="F13" s="23">
        <v>2.0310344420993057E-3</v>
      </c>
      <c r="G13" s="23">
        <v>2.0310344420993057E-3</v>
      </c>
      <c r="H13" s="23">
        <v>2.0310344420993057E-3</v>
      </c>
      <c r="I13" s="23">
        <v>2.0310344420993057E-3</v>
      </c>
      <c r="J13" s="23">
        <v>2.0310344420993057E-3</v>
      </c>
      <c r="K13" s="23">
        <v>2.0310344420993057E-3</v>
      </c>
      <c r="L13" s="23">
        <v>2.0310344420993057E-3</v>
      </c>
      <c r="M13" s="23">
        <v>2.0310344420993057E-3</v>
      </c>
      <c r="N13" s="24" t="s">
        <v>254</v>
      </c>
      <c r="O13" s="24" t="s">
        <v>557</v>
      </c>
      <c r="P13" s="24" t="s">
        <v>558</v>
      </c>
      <c r="Q13" s="24" t="s">
        <v>245</v>
      </c>
      <c r="R13" s="22"/>
    </row>
    <row r="14" spans="1:18" x14ac:dyDescent="0.25">
      <c r="A14" s="6" t="s">
        <v>558</v>
      </c>
      <c r="B14" t="s">
        <v>174</v>
      </c>
      <c r="C14" s="23">
        <v>3.4636654128689173E-2</v>
      </c>
      <c r="D14" s="23">
        <v>3.4636654128689173E-2</v>
      </c>
      <c r="E14" s="23">
        <v>3.4636654128689173E-2</v>
      </c>
      <c r="F14" s="23">
        <v>3.4636654128689173E-2</v>
      </c>
      <c r="G14" s="23">
        <v>3.4636654128689173E-2</v>
      </c>
      <c r="H14" s="23">
        <v>3.4636654128689173E-2</v>
      </c>
      <c r="I14" s="23">
        <v>3.4636654128689173E-2</v>
      </c>
      <c r="J14" s="23">
        <v>3.4636654128689173E-2</v>
      </c>
      <c r="K14" s="23">
        <v>3.4636654128689173E-2</v>
      </c>
      <c r="L14" s="23">
        <v>3.4636654128689173E-2</v>
      </c>
      <c r="M14" s="23">
        <v>3.4636654128689173E-2</v>
      </c>
      <c r="N14" s="24" t="s">
        <v>254</v>
      </c>
      <c r="O14" s="24" t="s">
        <v>557</v>
      </c>
      <c r="P14" s="24" t="s">
        <v>558</v>
      </c>
      <c r="Q14" s="24" t="s">
        <v>245</v>
      </c>
      <c r="R14" s="22"/>
    </row>
    <row r="15" spans="1:18" x14ac:dyDescent="0.25">
      <c r="A15" s="6" t="s">
        <v>558</v>
      </c>
      <c r="B15" t="s">
        <v>106</v>
      </c>
      <c r="C15" s="23">
        <v>1.4002051669044559E-4</v>
      </c>
      <c r="D15" s="23">
        <v>1.4002051669044559E-4</v>
      </c>
      <c r="E15" s="23">
        <v>1.4002051669044559E-4</v>
      </c>
      <c r="F15" s="23">
        <v>1.4002051669044559E-4</v>
      </c>
      <c r="G15" s="23">
        <v>1.4002051669044559E-4</v>
      </c>
      <c r="H15" s="23">
        <v>1.4002051669044559E-4</v>
      </c>
      <c r="I15" s="23">
        <v>1.4002051669044559E-4</v>
      </c>
      <c r="J15" s="23">
        <v>1.4002051669044559E-4</v>
      </c>
      <c r="K15" s="23">
        <v>1.4002051669044559E-4</v>
      </c>
      <c r="L15" s="23">
        <v>1.4002051669044559E-4</v>
      </c>
      <c r="M15" s="23">
        <v>1.4002051669044559E-4</v>
      </c>
      <c r="N15" s="24" t="s">
        <v>254</v>
      </c>
      <c r="O15" s="24" t="s">
        <v>557</v>
      </c>
      <c r="P15" s="24" t="s">
        <v>558</v>
      </c>
      <c r="Q15" s="24" t="s">
        <v>245</v>
      </c>
      <c r="R15" s="22"/>
    </row>
    <row r="16" spans="1:18" x14ac:dyDescent="0.25">
      <c r="A16" s="6" t="s">
        <v>558</v>
      </c>
      <c r="B16" t="s">
        <v>107</v>
      </c>
      <c r="C16" s="23">
        <v>0.13770796731478971</v>
      </c>
      <c r="D16" s="23">
        <v>0.13770796731478971</v>
      </c>
      <c r="E16" s="23">
        <v>0.13770796731478971</v>
      </c>
      <c r="F16" s="23">
        <v>0.13770796731478971</v>
      </c>
      <c r="G16" s="23">
        <v>0.13770796731478971</v>
      </c>
      <c r="H16" s="23">
        <v>0.13770796731478971</v>
      </c>
      <c r="I16" s="23">
        <v>0.13770796731478971</v>
      </c>
      <c r="J16" s="23">
        <v>0.13770796731478971</v>
      </c>
      <c r="K16" s="23">
        <v>0.13770796731478971</v>
      </c>
      <c r="L16" s="23">
        <v>0.13770796731478971</v>
      </c>
      <c r="M16" s="23">
        <v>0.13770796731478971</v>
      </c>
      <c r="N16" s="24" t="s">
        <v>254</v>
      </c>
      <c r="O16" s="24" t="s">
        <v>557</v>
      </c>
      <c r="P16" s="24" t="s">
        <v>558</v>
      </c>
      <c r="Q16" s="24" t="s">
        <v>245</v>
      </c>
      <c r="R16" s="22"/>
    </row>
    <row r="17" spans="1:18" x14ac:dyDescent="0.25">
      <c r="A17" s="6" t="s">
        <v>558</v>
      </c>
      <c r="B17" t="s">
        <v>139</v>
      </c>
      <c r="C17" s="23">
        <v>0.18825979554056763</v>
      </c>
      <c r="D17" s="23">
        <v>0.18825979554056763</v>
      </c>
      <c r="E17" s="23">
        <v>0.18825979554056763</v>
      </c>
      <c r="F17" s="23">
        <v>0.18825979554056763</v>
      </c>
      <c r="G17" s="23">
        <v>0.18825979554056763</v>
      </c>
      <c r="H17" s="23">
        <v>0.18825979554056763</v>
      </c>
      <c r="I17" s="23">
        <v>0.18825979554056763</v>
      </c>
      <c r="J17" s="23">
        <v>0.18825979554056763</v>
      </c>
      <c r="K17" s="23">
        <v>0.18825979554056763</v>
      </c>
      <c r="L17" s="23">
        <v>0.18825979554056763</v>
      </c>
      <c r="M17" s="23">
        <v>0.18825979554056763</v>
      </c>
      <c r="N17" s="24" t="s">
        <v>254</v>
      </c>
      <c r="O17" s="24" t="s">
        <v>557</v>
      </c>
      <c r="P17" s="24" t="s">
        <v>558</v>
      </c>
      <c r="Q17" s="24" t="s">
        <v>245</v>
      </c>
      <c r="R17" s="22"/>
    </row>
    <row r="18" spans="1:18" x14ac:dyDescent="0.25">
      <c r="A18" s="6" t="s">
        <v>558</v>
      </c>
      <c r="B18" t="s">
        <v>112</v>
      </c>
      <c r="C18" s="23">
        <v>2.8004103338089118E-2</v>
      </c>
      <c r="D18" s="23">
        <v>2.8004103338089118E-2</v>
      </c>
      <c r="E18" s="23">
        <v>2.8004103338089118E-2</v>
      </c>
      <c r="F18" s="23">
        <v>2.8004103338089118E-2</v>
      </c>
      <c r="G18" s="23">
        <v>2.8004103338089118E-2</v>
      </c>
      <c r="H18" s="23">
        <v>2.8004103338089118E-2</v>
      </c>
      <c r="I18" s="23">
        <v>2.8004103338089118E-2</v>
      </c>
      <c r="J18" s="23">
        <v>2.8004103338089118E-2</v>
      </c>
      <c r="K18" s="23">
        <v>2.8004103338089118E-2</v>
      </c>
      <c r="L18" s="23">
        <v>2.8004103338089118E-2</v>
      </c>
      <c r="M18" s="23">
        <v>2.8004103338089118E-2</v>
      </c>
      <c r="N18" s="24" t="s">
        <v>254</v>
      </c>
      <c r="O18" s="24" t="s">
        <v>557</v>
      </c>
      <c r="P18" s="24" t="s">
        <v>558</v>
      </c>
      <c r="Q18" s="24" t="s">
        <v>245</v>
      </c>
      <c r="R18" s="22"/>
    </row>
    <row r="19" spans="1:18" x14ac:dyDescent="0.25">
      <c r="A19" s="6" t="s">
        <v>558</v>
      </c>
      <c r="B19" t="s">
        <v>115</v>
      </c>
      <c r="C19" s="23">
        <v>2.1902156610737068E-3</v>
      </c>
      <c r="D19" s="23">
        <v>2.1902156610737068E-3</v>
      </c>
      <c r="E19" s="23">
        <v>2.1902156610737068E-3</v>
      </c>
      <c r="F19" s="23">
        <v>2.1902156610737068E-3</v>
      </c>
      <c r="G19" s="23">
        <v>2.1902156610737068E-3</v>
      </c>
      <c r="H19" s="23">
        <v>2.1902156610737068E-3</v>
      </c>
      <c r="I19" s="23">
        <v>2.1902156610737068E-3</v>
      </c>
      <c r="J19" s="23">
        <v>2.1902156610737068E-3</v>
      </c>
      <c r="K19" s="23">
        <v>2.1902156610737068E-3</v>
      </c>
      <c r="L19" s="23">
        <v>2.1902156610737068E-3</v>
      </c>
      <c r="M19" s="23">
        <v>2.1902156610737068E-3</v>
      </c>
      <c r="N19" s="24" t="s">
        <v>254</v>
      </c>
      <c r="O19" s="24" t="s">
        <v>557</v>
      </c>
      <c r="P19" s="24" t="s">
        <v>558</v>
      </c>
      <c r="Q19" s="24" t="s">
        <v>245</v>
      </c>
      <c r="R19" s="22"/>
    </row>
    <row r="20" spans="1:18" x14ac:dyDescent="0.25">
      <c r="A20" s="6" t="s">
        <v>594</v>
      </c>
      <c r="B20" t="s">
        <v>163</v>
      </c>
      <c r="C20" s="23">
        <v>6.5639954368342301E-2</v>
      </c>
      <c r="D20" s="23">
        <v>6.5639954368342301E-2</v>
      </c>
      <c r="E20" s="23">
        <v>6.5639954368342301E-2</v>
      </c>
      <c r="F20" s="23">
        <v>6.5639954368342301E-2</v>
      </c>
      <c r="G20" s="23">
        <v>6.5639954368342301E-2</v>
      </c>
      <c r="H20" s="23">
        <v>6.5639954368342301E-2</v>
      </c>
      <c r="I20" s="23">
        <v>6.5639954368342301E-2</v>
      </c>
      <c r="J20" s="23">
        <v>6.5639954368342301E-2</v>
      </c>
      <c r="K20" s="23">
        <v>6.5639954368342301E-2</v>
      </c>
      <c r="L20" s="23">
        <v>6.5639954368342301E-2</v>
      </c>
      <c r="M20" s="23">
        <v>6.5639954368342301E-2</v>
      </c>
      <c r="N20" s="24" t="s">
        <v>254</v>
      </c>
      <c r="O20" s="24" t="s">
        <v>595</v>
      </c>
      <c r="P20" s="24" t="s">
        <v>594</v>
      </c>
      <c r="Q20" s="24" t="s">
        <v>245</v>
      </c>
      <c r="R20" s="25" t="s">
        <v>593</v>
      </c>
    </row>
    <row r="21" spans="1:18" x14ac:dyDescent="0.25">
      <c r="A21" s="6" t="s">
        <v>594</v>
      </c>
      <c r="B21" t="s">
        <v>144</v>
      </c>
      <c r="C21" s="23">
        <v>4.9224409973776612E-2</v>
      </c>
      <c r="D21" s="23">
        <v>4.9224409973776612E-2</v>
      </c>
      <c r="E21" s="23">
        <v>4.9224409973776612E-2</v>
      </c>
      <c r="F21" s="23">
        <v>4.9224409973776612E-2</v>
      </c>
      <c r="G21" s="23">
        <v>4.9224409973776612E-2</v>
      </c>
      <c r="H21" s="23">
        <v>4.9224409973776612E-2</v>
      </c>
      <c r="I21" s="23">
        <v>4.9224409973776612E-2</v>
      </c>
      <c r="J21" s="23">
        <v>4.9224409973776612E-2</v>
      </c>
      <c r="K21" s="23">
        <v>4.9224409973776612E-2</v>
      </c>
      <c r="L21" s="23">
        <v>4.9224409973776612E-2</v>
      </c>
      <c r="M21" s="23">
        <v>4.9224409973776612E-2</v>
      </c>
      <c r="N21" s="24" t="s">
        <v>254</v>
      </c>
      <c r="O21" s="24" t="s">
        <v>595</v>
      </c>
      <c r="P21" s="24" t="s">
        <v>594</v>
      </c>
      <c r="Q21" s="24" t="s">
        <v>245</v>
      </c>
      <c r="R21" s="22"/>
    </row>
    <row r="22" spans="1:18" x14ac:dyDescent="0.25">
      <c r="A22" s="6" t="s">
        <v>594</v>
      </c>
      <c r="B22" t="s">
        <v>86</v>
      </c>
      <c r="C22" s="23">
        <v>0.78759055958042579</v>
      </c>
      <c r="D22" s="23">
        <v>0.78759055958042579</v>
      </c>
      <c r="E22" s="23">
        <v>0.78759055958042579</v>
      </c>
      <c r="F22" s="23">
        <v>0.78759055958042579</v>
      </c>
      <c r="G22" s="23">
        <v>0.78759055958042579</v>
      </c>
      <c r="H22" s="23">
        <v>0.78759055958042579</v>
      </c>
      <c r="I22" s="23">
        <v>0.78759055958042579</v>
      </c>
      <c r="J22" s="23">
        <v>0.78759055958042579</v>
      </c>
      <c r="K22" s="23">
        <v>0.78759055958042579</v>
      </c>
      <c r="L22" s="23">
        <v>0.78759055958042579</v>
      </c>
      <c r="M22" s="23">
        <v>0.78759055958042579</v>
      </c>
      <c r="N22" s="24" t="s">
        <v>254</v>
      </c>
      <c r="O22" s="24" t="s">
        <v>595</v>
      </c>
      <c r="P22" s="24" t="s">
        <v>594</v>
      </c>
      <c r="Q22" s="24" t="s">
        <v>245</v>
      </c>
      <c r="R22" s="22"/>
    </row>
    <row r="23" spans="1:18" x14ac:dyDescent="0.25">
      <c r="A23" s="6" t="s">
        <v>594</v>
      </c>
      <c r="B23" t="s">
        <v>91</v>
      </c>
      <c r="C23" s="23">
        <v>8.8196512437589816E-2</v>
      </c>
      <c r="D23" s="23">
        <v>8.8196512437589816E-2</v>
      </c>
      <c r="E23" s="23">
        <v>8.8196512437589816E-2</v>
      </c>
      <c r="F23" s="23">
        <v>8.8196512437589816E-2</v>
      </c>
      <c r="G23" s="23">
        <v>8.8196512437589816E-2</v>
      </c>
      <c r="H23" s="23">
        <v>8.8196512437589816E-2</v>
      </c>
      <c r="I23" s="23">
        <v>8.8196512437589816E-2</v>
      </c>
      <c r="J23" s="23">
        <v>8.8196512437589816E-2</v>
      </c>
      <c r="K23" s="23">
        <v>8.8196512437589816E-2</v>
      </c>
      <c r="L23" s="23">
        <v>8.8196512437589816E-2</v>
      </c>
      <c r="M23" s="23">
        <v>8.8196512437589816E-2</v>
      </c>
      <c r="N23" s="24" t="s">
        <v>254</v>
      </c>
      <c r="O23" s="24" t="s">
        <v>595</v>
      </c>
      <c r="P23" s="24" t="s">
        <v>594</v>
      </c>
      <c r="Q23" s="24" t="s">
        <v>245</v>
      </c>
      <c r="R23" s="22"/>
    </row>
    <row r="24" spans="1:18" x14ac:dyDescent="0.25">
      <c r="A24" s="6" t="s">
        <v>594</v>
      </c>
      <c r="B24" t="s">
        <v>99</v>
      </c>
      <c r="C24" s="23">
        <v>7.8522008385557872E-4</v>
      </c>
      <c r="D24" s="23">
        <v>7.8522008385557872E-4</v>
      </c>
      <c r="E24" s="23">
        <v>7.8522008385557872E-4</v>
      </c>
      <c r="F24" s="23">
        <v>7.8522008385557872E-4</v>
      </c>
      <c r="G24" s="23">
        <v>7.8522008385557872E-4</v>
      </c>
      <c r="H24" s="23">
        <v>7.8522008385557872E-4</v>
      </c>
      <c r="I24" s="23">
        <v>7.8522008385557872E-4</v>
      </c>
      <c r="J24" s="23">
        <v>7.8522008385557872E-4</v>
      </c>
      <c r="K24" s="23">
        <v>7.8522008385557872E-4</v>
      </c>
      <c r="L24" s="23">
        <v>7.8522008385557872E-4</v>
      </c>
      <c r="M24" s="23">
        <v>7.8522008385557872E-4</v>
      </c>
      <c r="N24" s="24" t="s">
        <v>254</v>
      </c>
      <c r="O24" s="24" t="s">
        <v>595</v>
      </c>
      <c r="P24" s="24" t="s">
        <v>594</v>
      </c>
      <c r="Q24" s="24" t="s">
        <v>245</v>
      </c>
      <c r="R24" s="22"/>
    </row>
    <row r="25" spans="1:18" x14ac:dyDescent="0.25">
      <c r="A25" s="6" t="s">
        <v>594</v>
      </c>
      <c r="B25" t="s">
        <v>150</v>
      </c>
      <c r="C25" s="23">
        <v>1.8963805798776242E-3</v>
      </c>
      <c r="D25" s="23">
        <v>1.8963805798776242E-3</v>
      </c>
      <c r="E25" s="23">
        <v>1.8963805798776242E-3</v>
      </c>
      <c r="F25" s="23">
        <v>1.8963805798776242E-3</v>
      </c>
      <c r="G25" s="23">
        <v>1.8963805798776242E-3</v>
      </c>
      <c r="H25" s="23">
        <v>1.8963805798776242E-3</v>
      </c>
      <c r="I25" s="23">
        <v>1.8963805798776242E-3</v>
      </c>
      <c r="J25" s="23">
        <v>1.8963805798776242E-3</v>
      </c>
      <c r="K25" s="23">
        <v>1.8963805798776242E-3</v>
      </c>
      <c r="L25" s="23">
        <v>1.8963805798776242E-3</v>
      </c>
      <c r="M25" s="23">
        <v>1.8963805798776242E-3</v>
      </c>
      <c r="N25" s="24" t="s">
        <v>254</v>
      </c>
      <c r="O25" s="24" t="s">
        <v>595</v>
      </c>
      <c r="P25" s="24" t="s">
        <v>594</v>
      </c>
      <c r="Q25" s="24" t="s">
        <v>245</v>
      </c>
      <c r="R25" s="22"/>
    </row>
    <row r="26" spans="1:18" x14ac:dyDescent="0.25">
      <c r="A26" s="6" t="s">
        <v>594</v>
      </c>
      <c r="B26" t="s">
        <v>139</v>
      </c>
      <c r="C26" s="23">
        <v>3.7038683200734846E-3</v>
      </c>
      <c r="D26" s="23">
        <v>3.7038683200734846E-3</v>
      </c>
      <c r="E26" s="23">
        <v>3.7038683200734846E-3</v>
      </c>
      <c r="F26" s="23">
        <v>3.7038683200734846E-3</v>
      </c>
      <c r="G26" s="23">
        <v>3.7038683200734846E-3</v>
      </c>
      <c r="H26" s="23">
        <v>3.7038683200734846E-3</v>
      </c>
      <c r="I26" s="23">
        <v>3.7038683200734846E-3</v>
      </c>
      <c r="J26" s="23">
        <v>3.7038683200734846E-3</v>
      </c>
      <c r="K26" s="23">
        <v>3.7038683200734846E-3</v>
      </c>
      <c r="L26" s="23">
        <v>3.7038683200734846E-3</v>
      </c>
      <c r="M26" s="23">
        <v>3.7038683200734846E-3</v>
      </c>
      <c r="N26" s="24" t="s">
        <v>254</v>
      </c>
      <c r="O26" s="24" t="s">
        <v>595</v>
      </c>
      <c r="P26" s="24" t="s">
        <v>594</v>
      </c>
      <c r="Q26" s="24" t="s">
        <v>245</v>
      </c>
      <c r="R26" s="22"/>
    </row>
    <row r="27" spans="1:18" x14ac:dyDescent="0.25">
      <c r="A27" s="6" t="s">
        <v>594</v>
      </c>
      <c r="B27" t="s">
        <v>113</v>
      </c>
      <c r="C27" s="23">
        <v>2.9630946560587879E-3</v>
      </c>
      <c r="D27" s="23">
        <v>2.9630946560587879E-3</v>
      </c>
      <c r="E27" s="23">
        <v>2.9630946560587879E-3</v>
      </c>
      <c r="F27" s="23">
        <v>2.9630946560587879E-3</v>
      </c>
      <c r="G27" s="23">
        <v>2.9630946560587879E-3</v>
      </c>
      <c r="H27" s="23">
        <v>2.9630946560587879E-3</v>
      </c>
      <c r="I27" s="23">
        <v>2.9630946560587879E-3</v>
      </c>
      <c r="J27" s="23">
        <v>2.9630946560587879E-3</v>
      </c>
      <c r="K27" s="23">
        <v>2.9630946560587879E-3</v>
      </c>
      <c r="L27" s="23">
        <v>2.9630946560587879E-3</v>
      </c>
      <c r="M27" s="23">
        <v>2.9630946560587879E-3</v>
      </c>
      <c r="N27" s="24" t="s">
        <v>254</v>
      </c>
      <c r="O27" s="24" t="s">
        <v>595</v>
      </c>
      <c r="P27" s="24" t="s">
        <v>594</v>
      </c>
      <c r="Q27" s="24" t="s">
        <v>245</v>
      </c>
      <c r="R27" s="22"/>
    </row>
    <row r="28" spans="1:18" x14ac:dyDescent="0.25">
      <c r="A28" t="s">
        <v>14</v>
      </c>
      <c r="B28" t="s">
        <v>83</v>
      </c>
      <c r="C28" s="4">
        <v>0.2983294008080461</v>
      </c>
      <c r="D28" s="4">
        <v>0.2983294008080461</v>
      </c>
      <c r="E28" s="4">
        <v>0.2983294008080461</v>
      </c>
      <c r="F28" s="4">
        <v>0.2983294008080461</v>
      </c>
      <c r="G28" s="4">
        <v>0.2983294008080461</v>
      </c>
      <c r="H28" s="4">
        <v>0.2983294008080461</v>
      </c>
      <c r="I28" s="4">
        <v>0.2983294008080461</v>
      </c>
      <c r="J28" s="4">
        <v>0.2983294008080461</v>
      </c>
      <c r="K28" s="4">
        <v>0.2983294008080461</v>
      </c>
      <c r="L28" s="4">
        <v>0.2983294008080461</v>
      </c>
      <c r="M28" s="4">
        <v>0.2983294008080461</v>
      </c>
      <c r="N28" t="s">
        <v>242</v>
      </c>
      <c r="O28" t="s">
        <v>243</v>
      </c>
      <c r="P28" t="s">
        <v>244</v>
      </c>
      <c r="Q28" t="s">
        <v>245</v>
      </c>
      <c r="R28" t="s">
        <v>261</v>
      </c>
    </row>
    <row r="29" spans="1:18" x14ac:dyDescent="0.25">
      <c r="A29" t="s">
        <v>14</v>
      </c>
      <c r="B29" t="s">
        <v>84</v>
      </c>
      <c r="C29" s="4">
        <v>2.292013115323338E-3</v>
      </c>
      <c r="D29" s="4">
        <v>2.292013115323338E-3</v>
      </c>
      <c r="E29" s="4">
        <v>2.292013115323338E-3</v>
      </c>
      <c r="F29" s="4">
        <v>2.292013115323338E-3</v>
      </c>
      <c r="G29" s="4">
        <v>2.292013115323338E-3</v>
      </c>
      <c r="H29" s="4">
        <v>2.292013115323338E-3</v>
      </c>
      <c r="I29" s="4">
        <v>2.292013115323338E-3</v>
      </c>
      <c r="J29" s="4">
        <v>2.292013115323338E-3</v>
      </c>
      <c r="K29" s="4">
        <v>2.292013115323338E-3</v>
      </c>
      <c r="L29" s="4">
        <v>2.292013115323338E-3</v>
      </c>
      <c r="M29" s="4">
        <v>2.292013115323338E-3</v>
      </c>
      <c r="N29" t="s">
        <v>242</v>
      </c>
      <c r="O29" t="s">
        <v>243</v>
      </c>
      <c r="P29" t="s">
        <v>244</v>
      </c>
      <c r="Q29" t="s">
        <v>245</v>
      </c>
    </row>
    <row r="30" spans="1:18" x14ac:dyDescent="0.25">
      <c r="A30" t="s">
        <v>14</v>
      </c>
      <c r="B30" t="s">
        <v>85</v>
      </c>
      <c r="C30" s="4">
        <v>0.10204218768111641</v>
      </c>
      <c r="D30" s="4">
        <v>0.10204218768111641</v>
      </c>
      <c r="E30" s="4">
        <v>0.10204218768111641</v>
      </c>
      <c r="F30" s="4">
        <v>0.10204218768111641</v>
      </c>
      <c r="G30" s="4">
        <v>0.10204218768111641</v>
      </c>
      <c r="H30" s="4">
        <v>0.10204218768111641</v>
      </c>
      <c r="I30" s="4">
        <v>0.10204218768111641</v>
      </c>
      <c r="J30" s="4">
        <v>0.10204218768111641</v>
      </c>
      <c r="K30" s="4">
        <v>0.10204218768111641</v>
      </c>
      <c r="L30" s="4">
        <v>0.10204218768111641</v>
      </c>
      <c r="M30" s="4">
        <v>0.10204218768111641</v>
      </c>
      <c r="N30" t="s">
        <v>242</v>
      </c>
      <c r="O30" t="s">
        <v>243</v>
      </c>
      <c r="P30" t="s">
        <v>244</v>
      </c>
      <c r="Q30" t="s">
        <v>245</v>
      </c>
    </row>
    <row r="31" spans="1:18" x14ac:dyDescent="0.25">
      <c r="A31" t="s">
        <v>14</v>
      </c>
      <c r="B31" t="s">
        <v>86</v>
      </c>
      <c r="C31" s="4">
        <v>0.1574689063030289</v>
      </c>
      <c r="D31" s="4">
        <v>0.1574689063030289</v>
      </c>
      <c r="E31" s="4">
        <v>0.1574689063030289</v>
      </c>
      <c r="F31" s="4">
        <v>0.1574689063030289</v>
      </c>
      <c r="G31" s="4">
        <v>0.1574689063030289</v>
      </c>
      <c r="H31" s="4">
        <v>0.1574689063030289</v>
      </c>
      <c r="I31" s="4">
        <v>0.1574689063030289</v>
      </c>
      <c r="J31" s="4">
        <v>0.1574689063030289</v>
      </c>
      <c r="K31" s="4">
        <v>0.1574689063030289</v>
      </c>
      <c r="L31" s="4">
        <v>0.1574689063030289</v>
      </c>
      <c r="M31" s="4">
        <v>0.1574689063030289</v>
      </c>
      <c r="N31" t="s">
        <v>242</v>
      </c>
      <c r="O31" t="s">
        <v>243</v>
      </c>
      <c r="P31" t="s">
        <v>244</v>
      </c>
      <c r="Q31" t="s">
        <v>245</v>
      </c>
    </row>
    <row r="32" spans="1:18" x14ac:dyDescent="0.25">
      <c r="A32" t="s">
        <v>14</v>
      </c>
      <c r="B32" t="s">
        <v>87</v>
      </c>
      <c r="C32" s="4">
        <v>2.7996797858408852E-5</v>
      </c>
      <c r="D32" s="4">
        <v>2.7996797858408852E-5</v>
      </c>
      <c r="E32" s="4">
        <v>2.7996797858408852E-5</v>
      </c>
      <c r="F32" s="4">
        <v>2.7996797858408852E-5</v>
      </c>
      <c r="G32" s="4">
        <v>2.7996797858408852E-5</v>
      </c>
      <c r="H32" s="4">
        <v>2.7996797858408852E-5</v>
      </c>
      <c r="I32" s="4">
        <v>2.7996797858408852E-5</v>
      </c>
      <c r="J32" s="4">
        <v>2.7996797858408852E-5</v>
      </c>
      <c r="K32" s="4">
        <v>2.7996797858408852E-5</v>
      </c>
      <c r="L32" s="4">
        <v>2.7996797858408852E-5</v>
      </c>
      <c r="M32" s="4">
        <v>2.7996797858408852E-5</v>
      </c>
      <c r="N32" t="s">
        <v>242</v>
      </c>
      <c r="O32" t="s">
        <v>243</v>
      </c>
      <c r="P32" t="s">
        <v>244</v>
      </c>
      <c r="Q32" t="s">
        <v>245</v>
      </c>
    </row>
    <row r="33" spans="1:17" x14ac:dyDescent="0.25">
      <c r="A33" t="s">
        <v>14</v>
      </c>
      <c r="B33" t="s">
        <v>88</v>
      </c>
      <c r="C33" s="4">
        <v>3.9921990113625161E-5</v>
      </c>
      <c r="D33" s="4">
        <v>3.9921990113625161E-5</v>
      </c>
      <c r="E33" s="4">
        <v>3.9921990113625161E-5</v>
      </c>
      <c r="F33" s="4">
        <v>3.9921990113625161E-5</v>
      </c>
      <c r="G33" s="4">
        <v>3.9921990113625161E-5</v>
      </c>
      <c r="H33" s="4">
        <v>3.9921990113625161E-5</v>
      </c>
      <c r="I33" s="4">
        <v>3.9921990113625161E-5</v>
      </c>
      <c r="J33" s="4">
        <v>3.9921990113625161E-5</v>
      </c>
      <c r="K33" s="4">
        <v>3.9921990113625161E-5</v>
      </c>
      <c r="L33" s="4">
        <v>3.9921990113625161E-5</v>
      </c>
      <c r="M33" s="4">
        <v>3.9921990113625161E-5</v>
      </c>
      <c r="N33" t="s">
        <v>242</v>
      </c>
      <c r="O33" t="s">
        <v>243</v>
      </c>
      <c r="P33" t="s">
        <v>244</v>
      </c>
      <c r="Q33" t="s">
        <v>245</v>
      </c>
    </row>
    <row r="34" spans="1:17" x14ac:dyDescent="0.25">
      <c r="A34" t="s">
        <v>14</v>
      </c>
      <c r="B34" t="s">
        <v>89</v>
      </c>
      <c r="C34" s="4">
        <v>6.7469220045320385E-5</v>
      </c>
      <c r="D34" s="4">
        <v>6.7469220045320385E-5</v>
      </c>
      <c r="E34" s="4">
        <v>6.7469220045320385E-5</v>
      </c>
      <c r="F34" s="4">
        <v>6.7469220045320385E-5</v>
      </c>
      <c r="G34" s="4">
        <v>6.7469220045320385E-5</v>
      </c>
      <c r="H34" s="4">
        <v>6.7469220045320385E-5</v>
      </c>
      <c r="I34" s="4">
        <v>6.7469220045320385E-5</v>
      </c>
      <c r="J34" s="4">
        <v>6.7469220045320385E-5</v>
      </c>
      <c r="K34" s="4">
        <v>6.7469220045320385E-5</v>
      </c>
      <c r="L34" s="4">
        <v>6.7469220045320385E-5</v>
      </c>
      <c r="M34" s="4">
        <v>6.7469220045320385E-5</v>
      </c>
      <c r="N34" t="s">
        <v>242</v>
      </c>
      <c r="O34" t="s">
        <v>243</v>
      </c>
      <c r="P34" t="s">
        <v>244</v>
      </c>
      <c r="Q34" t="s">
        <v>245</v>
      </c>
    </row>
    <row r="35" spans="1:17" x14ac:dyDescent="0.25">
      <c r="A35" t="s">
        <v>14</v>
      </c>
      <c r="B35" t="s">
        <v>90</v>
      </c>
      <c r="C35" s="4">
        <v>7.0450219591244837E-5</v>
      </c>
      <c r="D35" s="4">
        <v>7.0450219591244837E-5</v>
      </c>
      <c r="E35" s="4">
        <v>7.0450219591244837E-5</v>
      </c>
      <c r="F35" s="4">
        <v>7.0450219591244837E-5</v>
      </c>
      <c r="G35" s="4">
        <v>7.0450219591244837E-5</v>
      </c>
      <c r="H35" s="4">
        <v>7.0450219591244837E-5</v>
      </c>
      <c r="I35" s="4">
        <v>7.0450219591244837E-5</v>
      </c>
      <c r="J35" s="4">
        <v>7.0450219591244837E-5</v>
      </c>
      <c r="K35" s="4">
        <v>7.0450219591244837E-5</v>
      </c>
      <c r="L35" s="4">
        <v>7.0450219591244837E-5</v>
      </c>
      <c r="M35" s="4">
        <v>7.0450219591244837E-5</v>
      </c>
      <c r="N35" t="s">
        <v>242</v>
      </c>
      <c r="O35" t="s">
        <v>243</v>
      </c>
      <c r="P35" t="s">
        <v>244</v>
      </c>
      <c r="Q35" t="s">
        <v>245</v>
      </c>
    </row>
    <row r="36" spans="1:17" x14ac:dyDescent="0.25">
      <c r="A36" t="s">
        <v>14</v>
      </c>
      <c r="B36" t="s">
        <v>91</v>
      </c>
      <c r="C36" s="4">
        <v>3.9225249382582929E-4</v>
      </c>
      <c r="D36" s="4">
        <v>3.9225249382582929E-4</v>
      </c>
      <c r="E36" s="4">
        <v>3.9225249382582929E-4</v>
      </c>
      <c r="F36" s="4">
        <v>3.9225249382582929E-4</v>
      </c>
      <c r="G36" s="4">
        <v>3.9225249382582929E-4</v>
      </c>
      <c r="H36" s="4">
        <v>3.9225249382582929E-4</v>
      </c>
      <c r="I36" s="4">
        <v>3.9225249382582929E-4</v>
      </c>
      <c r="J36" s="4">
        <v>3.9225249382582929E-4</v>
      </c>
      <c r="K36" s="4">
        <v>3.9225249382582929E-4</v>
      </c>
      <c r="L36" s="4">
        <v>3.9225249382582929E-4</v>
      </c>
      <c r="M36" s="4">
        <v>3.9225249382582929E-4</v>
      </c>
      <c r="N36" t="s">
        <v>242</v>
      </c>
      <c r="O36" t="s">
        <v>243</v>
      </c>
      <c r="P36" t="s">
        <v>244</v>
      </c>
      <c r="Q36" t="s">
        <v>245</v>
      </c>
    </row>
    <row r="37" spans="1:17" x14ac:dyDescent="0.25">
      <c r="A37" t="s">
        <v>14</v>
      </c>
      <c r="B37" t="s">
        <v>92</v>
      </c>
      <c r="C37" s="4">
        <v>3.347073812814543E-3</v>
      </c>
      <c r="D37" s="4">
        <v>3.347073812814543E-3</v>
      </c>
      <c r="E37" s="4">
        <v>3.347073812814543E-3</v>
      </c>
      <c r="F37" s="4">
        <v>3.347073812814543E-3</v>
      </c>
      <c r="G37" s="4">
        <v>3.347073812814543E-3</v>
      </c>
      <c r="H37" s="4">
        <v>3.347073812814543E-3</v>
      </c>
      <c r="I37" s="4">
        <v>3.347073812814543E-3</v>
      </c>
      <c r="J37" s="4">
        <v>3.347073812814543E-3</v>
      </c>
      <c r="K37" s="4">
        <v>3.347073812814543E-3</v>
      </c>
      <c r="L37" s="4">
        <v>3.347073812814543E-3</v>
      </c>
      <c r="M37" s="4">
        <v>3.347073812814543E-3</v>
      </c>
      <c r="N37" t="s">
        <v>242</v>
      </c>
      <c r="O37" t="s">
        <v>243</v>
      </c>
      <c r="P37" t="s">
        <v>244</v>
      </c>
      <c r="Q37" t="s">
        <v>245</v>
      </c>
    </row>
    <row r="38" spans="1:17" x14ac:dyDescent="0.25">
      <c r="A38" t="s">
        <v>14</v>
      </c>
      <c r="B38" t="s">
        <v>93</v>
      </c>
      <c r="C38" s="4">
        <v>4.5861289905907467E-3</v>
      </c>
      <c r="D38" s="4">
        <v>4.5861289905907467E-3</v>
      </c>
      <c r="E38" s="4">
        <v>4.5861289905907467E-3</v>
      </c>
      <c r="F38" s="4">
        <v>4.5861289905907467E-3</v>
      </c>
      <c r="G38" s="4">
        <v>4.5861289905907467E-3</v>
      </c>
      <c r="H38" s="4">
        <v>4.5861289905907467E-3</v>
      </c>
      <c r="I38" s="4">
        <v>4.5861289905907467E-3</v>
      </c>
      <c r="J38" s="4">
        <v>4.5861289905907467E-3</v>
      </c>
      <c r="K38" s="4">
        <v>4.5861289905907467E-3</v>
      </c>
      <c r="L38" s="4">
        <v>4.5861289905907467E-3</v>
      </c>
      <c r="M38" s="4">
        <v>4.5861289905907467E-3</v>
      </c>
      <c r="N38" t="s">
        <v>242</v>
      </c>
      <c r="O38" t="s">
        <v>243</v>
      </c>
      <c r="P38" t="s">
        <v>244</v>
      </c>
      <c r="Q38" t="s">
        <v>245</v>
      </c>
    </row>
    <row r="39" spans="1:17" x14ac:dyDescent="0.25">
      <c r="A39" t="s">
        <v>14</v>
      </c>
      <c r="B39" t="s">
        <v>94</v>
      </c>
      <c r="C39" s="4">
        <v>0.21293480539664211</v>
      </c>
      <c r="D39" s="4">
        <v>0.21293480539664211</v>
      </c>
      <c r="E39" s="4">
        <v>0.21293480539664211</v>
      </c>
      <c r="F39" s="4">
        <v>0.21293480539664211</v>
      </c>
      <c r="G39" s="4">
        <v>0.21293480539664211</v>
      </c>
      <c r="H39" s="4">
        <v>0.21293480539664211</v>
      </c>
      <c r="I39" s="4">
        <v>0.21293480539664211</v>
      </c>
      <c r="J39" s="4">
        <v>0.21293480539664211</v>
      </c>
      <c r="K39" s="4">
        <v>0.21293480539664211</v>
      </c>
      <c r="L39" s="4">
        <v>0.21293480539664211</v>
      </c>
      <c r="M39" s="4">
        <v>0.21293480539664211</v>
      </c>
      <c r="N39" t="s">
        <v>242</v>
      </c>
      <c r="O39" t="s">
        <v>243</v>
      </c>
      <c r="P39" t="s">
        <v>244</v>
      </c>
      <c r="Q39" t="s">
        <v>245</v>
      </c>
    </row>
    <row r="40" spans="1:17" x14ac:dyDescent="0.25">
      <c r="A40" t="s">
        <v>14</v>
      </c>
      <c r="B40" t="s">
        <v>95</v>
      </c>
      <c r="C40" s="4">
        <v>3.892385379059944E-3</v>
      </c>
      <c r="D40" s="4">
        <v>3.892385379059944E-3</v>
      </c>
      <c r="E40" s="4">
        <v>3.892385379059944E-3</v>
      </c>
      <c r="F40" s="4">
        <v>3.892385379059944E-3</v>
      </c>
      <c r="G40" s="4">
        <v>3.892385379059944E-3</v>
      </c>
      <c r="H40" s="4">
        <v>3.892385379059944E-3</v>
      </c>
      <c r="I40" s="4">
        <v>3.892385379059944E-3</v>
      </c>
      <c r="J40" s="4">
        <v>3.892385379059944E-3</v>
      </c>
      <c r="K40" s="4">
        <v>3.892385379059944E-3</v>
      </c>
      <c r="L40" s="4">
        <v>3.892385379059944E-3</v>
      </c>
      <c r="M40" s="4">
        <v>3.892385379059944E-3</v>
      </c>
      <c r="N40" t="s">
        <v>242</v>
      </c>
      <c r="O40" t="s">
        <v>243</v>
      </c>
      <c r="P40" t="s">
        <v>244</v>
      </c>
      <c r="Q40" t="s">
        <v>245</v>
      </c>
    </row>
    <row r="41" spans="1:17" x14ac:dyDescent="0.25">
      <c r="A41" t="s">
        <v>14</v>
      </c>
      <c r="B41" t="s">
        <v>96</v>
      </c>
      <c r="C41" s="4">
        <v>3.283696675863107E-6</v>
      </c>
      <c r="D41" s="4">
        <v>3.283696675863107E-6</v>
      </c>
      <c r="E41" s="4">
        <v>3.283696675863107E-6</v>
      </c>
      <c r="F41" s="4">
        <v>3.283696675863107E-6</v>
      </c>
      <c r="G41" s="4">
        <v>3.283696675863107E-6</v>
      </c>
      <c r="H41" s="4">
        <v>3.283696675863107E-6</v>
      </c>
      <c r="I41" s="4">
        <v>3.283696675863107E-6</v>
      </c>
      <c r="J41" s="4">
        <v>3.283696675863107E-6</v>
      </c>
      <c r="K41" s="4">
        <v>3.283696675863107E-6</v>
      </c>
      <c r="L41" s="4">
        <v>3.283696675863107E-6</v>
      </c>
      <c r="M41" s="4">
        <v>3.283696675863107E-6</v>
      </c>
      <c r="N41" t="s">
        <v>242</v>
      </c>
      <c r="O41" t="s">
        <v>243</v>
      </c>
      <c r="P41" t="s">
        <v>244</v>
      </c>
      <c r="Q41" t="s">
        <v>245</v>
      </c>
    </row>
    <row r="42" spans="1:17" x14ac:dyDescent="0.25">
      <c r="A42" t="s">
        <v>14</v>
      </c>
      <c r="B42" t="s">
        <v>97</v>
      </c>
      <c r="C42" s="4">
        <v>6.4448353436572153E-2</v>
      </c>
      <c r="D42" s="4">
        <v>6.4448353436572153E-2</v>
      </c>
      <c r="E42" s="4">
        <v>6.4448353436572153E-2</v>
      </c>
      <c r="F42" s="4">
        <v>6.4448353436572153E-2</v>
      </c>
      <c r="G42" s="4">
        <v>6.4448353436572153E-2</v>
      </c>
      <c r="H42" s="4">
        <v>6.4448353436572153E-2</v>
      </c>
      <c r="I42" s="4">
        <v>6.4448353436572153E-2</v>
      </c>
      <c r="J42" s="4">
        <v>6.4448353436572153E-2</v>
      </c>
      <c r="K42" s="4">
        <v>6.4448353436572153E-2</v>
      </c>
      <c r="L42" s="4">
        <v>6.4448353436572153E-2</v>
      </c>
      <c r="M42" s="4">
        <v>6.4448353436572153E-2</v>
      </c>
      <c r="N42" t="s">
        <v>242</v>
      </c>
      <c r="O42" t="s">
        <v>243</v>
      </c>
      <c r="P42" t="s">
        <v>244</v>
      </c>
      <c r="Q42" t="s">
        <v>245</v>
      </c>
    </row>
    <row r="43" spans="1:17" x14ac:dyDescent="0.25">
      <c r="A43" t="s">
        <v>14</v>
      </c>
      <c r="B43" t="s">
        <v>98</v>
      </c>
      <c r="C43" s="4">
        <v>4.8596221760693677E-2</v>
      </c>
      <c r="D43" s="4">
        <v>4.8596221760693677E-2</v>
      </c>
      <c r="E43" s="4">
        <v>4.8596221760693677E-2</v>
      </c>
      <c r="F43" s="4">
        <v>4.8596221760693677E-2</v>
      </c>
      <c r="G43" s="4">
        <v>4.8596221760693677E-2</v>
      </c>
      <c r="H43" s="4">
        <v>4.8596221760693677E-2</v>
      </c>
      <c r="I43" s="4">
        <v>4.8596221760693677E-2</v>
      </c>
      <c r="J43" s="4">
        <v>4.8596221760693677E-2</v>
      </c>
      <c r="K43" s="4">
        <v>4.8596221760693677E-2</v>
      </c>
      <c r="L43" s="4">
        <v>4.8596221760693677E-2</v>
      </c>
      <c r="M43" s="4">
        <v>4.8596221760693677E-2</v>
      </c>
      <c r="N43" t="s">
        <v>242</v>
      </c>
      <c r="O43" t="s">
        <v>243</v>
      </c>
      <c r="P43" t="s">
        <v>244</v>
      </c>
      <c r="Q43" t="s">
        <v>245</v>
      </c>
    </row>
    <row r="44" spans="1:17" x14ac:dyDescent="0.25">
      <c r="A44" t="s">
        <v>14</v>
      </c>
      <c r="B44" t="s">
        <v>99</v>
      </c>
      <c r="C44" s="4">
        <v>3.1284864836029652E-3</v>
      </c>
      <c r="D44" s="4">
        <v>3.1284864836029652E-3</v>
      </c>
      <c r="E44" s="4">
        <v>3.1284864836029652E-3</v>
      </c>
      <c r="F44" s="4">
        <v>3.1284864836029652E-3</v>
      </c>
      <c r="G44" s="4">
        <v>3.1284864836029652E-3</v>
      </c>
      <c r="H44" s="4">
        <v>3.1284864836029652E-3</v>
      </c>
      <c r="I44" s="4">
        <v>3.1284864836029652E-3</v>
      </c>
      <c r="J44" s="4">
        <v>3.1284864836029652E-3</v>
      </c>
      <c r="K44" s="4">
        <v>3.1284864836029652E-3</v>
      </c>
      <c r="L44" s="4">
        <v>3.1284864836029652E-3</v>
      </c>
      <c r="M44" s="4">
        <v>3.1284864836029652E-3</v>
      </c>
      <c r="N44" t="s">
        <v>242</v>
      </c>
      <c r="O44" t="s">
        <v>243</v>
      </c>
      <c r="P44" t="s">
        <v>244</v>
      </c>
      <c r="Q44" t="s">
        <v>245</v>
      </c>
    </row>
    <row r="45" spans="1:17" x14ac:dyDescent="0.25">
      <c r="A45" t="s">
        <v>14</v>
      </c>
      <c r="B45" t="s">
        <v>100</v>
      </c>
      <c r="C45" s="4">
        <v>3.4168057983874123E-4</v>
      </c>
      <c r="D45" s="4">
        <v>3.4168057983874123E-4</v>
      </c>
      <c r="E45" s="4">
        <v>3.4168057983874123E-4</v>
      </c>
      <c r="F45" s="4">
        <v>3.4168057983874123E-4</v>
      </c>
      <c r="G45" s="4">
        <v>3.4168057983874123E-4</v>
      </c>
      <c r="H45" s="4">
        <v>3.4168057983874123E-4</v>
      </c>
      <c r="I45" s="4">
        <v>3.4168057983874123E-4</v>
      </c>
      <c r="J45" s="4">
        <v>3.4168057983874123E-4</v>
      </c>
      <c r="K45" s="4">
        <v>3.4168057983874123E-4</v>
      </c>
      <c r="L45" s="4">
        <v>3.4168057983874123E-4</v>
      </c>
      <c r="M45" s="4">
        <v>3.4168057983874123E-4</v>
      </c>
      <c r="N45" t="s">
        <v>242</v>
      </c>
      <c r="O45" t="s">
        <v>243</v>
      </c>
      <c r="P45" t="s">
        <v>244</v>
      </c>
      <c r="Q45" t="s">
        <v>245</v>
      </c>
    </row>
    <row r="46" spans="1:17" x14ac:dyDescent="0.25">
      <c r="A46" t="s">
        <v>14</v>
      </c>
      <c r="B46" t="s">
        <v>101</v>
      </c>
      <c r="C46" s="4">
        <v>2.4406073155209509E-2</v>
      </c>
      <c r="D46" s="4">
        <v>2.4406073155209509E-2</v>
      </c>
      <c r="E46" s="4">
        <v>2.4406073155209509E-2</v>
      </c>
      <c r="F46" s="4">
        <v>2.4406073155209509E-2</v>
      </c>
      <c r="G46" s="4">
        <v>2.4406073155209509E-2</v>
      </c>
      <c r="H46" s="4">
        <v>2.4406073155209509E-2</v>
      </c>
      <c r="I46" s="4">
        <v>2.4406073155209509E-2</v>
      </c>
      <c r="J46" s="4">
        <v>2.4406073155209509E-2</v>
      </c>
      <c r="K46" s="4">
        <v>2.4406073155209509E-2</v>
      </c>
      <c r="L46" s="4">
        <v>2.4406073155209509E-2</v>
      </c>
      <c r="M46" s="4">
        <v>2.4406073155209509E-2</v>
      </c>
      <c r="N46" t="s">
        <v>242</v>
      </c>
      <c r="O46" t="s">
        <v>243</v>
      </c>
      <c r="P46" t="s">
        <v>244</v>
      </c>
      <c r="Q46" t="s">
        <v>245</v>
      </c>
    </row>
    <row r="47" spans="1:17" x14ac:dyDescent="0.25">
      <c r="A47" t="s">
        <v>14</v>
      </c>
      <c r="B47" t="s">
        <v>102</v>
      </c>
      <c r="C47" s="4">
        <v>1.3808720668491391E-2</v>
      </c>
      <c r="D47" s="4">
        <v>1.3808720668491391E-2</v>
      </c>
      <c r="E47" s="4">
        <v>1.3808720668491391E-2</v>
      </c>
      <c r="F47" s="4">
        <v>1.3808720668491391E-2</v>
      </c>
      <c r="G47" s="4">
        <v>1.3808720668491391E-2</v>
      </c>
      <c r="H47" s="4">
        <v>1.3808720668491391E-2</v>
      </c>
      <c r="I47" s="4">
        <v>1.3808720668491391E-2</v>
      </c>
      <c r="J47" s="4">
        <v>1.3808720668491391E-2</v>
      </c>
      <c r="K47" s="4">
        <v>1.3808720668491391E-2</v>
      </c>
      <c r="L47" s="4">
        <v>1.3808720668491391E-2</v>
      </c>
      <c r="M47" s="4">
        <v>1.3808720668491391E-2</v>
      </c>
      <c r="N47" t="s">
        <v>242</v>
      </c>
      <c r="O47" t="s">
        <v>243</v>
      </c>
      <c r="P47" t="s">
        <v>244</v>
      </c>
      <c r="Q47" t="s">
        <v>245</v>
      </c>
    </row>
    <row r="48" spans="1:17" x14ac:dyDescent="0.25">
      <c r="A48" t="s">
        <v>14</v>
      </c>
      <c r="B48" t="s">
        <v>103</v>
      </c>
      <c r="C48" s="4">
        <v>1.3592516108994969E-3</v>
      </c>
      <c r="D48" s="4">
        <v>1.3592516108994969E-3</v>
      </c>
      <c r="E48" s="4">
        <v>1.3592516108994969E-3</v>
      </c>
      <c r="F48" s="4">
        <v>1.3592516108994969E-3</v>
      </c>
      <c r="G48" s="4">
        <v>1.3592516108994969E-3</v>
      </c>
      <c r="H48" s="4">
        <v>1.3592516108994969E-3</v>
      </c>
      <c r="I48" s="4">
        <v>1.3592516108994969E-3</v>
      </c>
      <c r="J48" s="4">
        <v>1.3592516108994969E-3</v>
      </c>
      <c r="K48" s="4">
        <v>1.3592516108994969E-3</v>
      </c>
      <c r="L48" s="4">
        <v>1.3592516108994969E-3</v>
      </c>
      <c r="M48" s="4">
        <v>1.3592516108994969E-3</v>
      </c>
      <c r="N48" t="s">
        <v>242</v>
      </c>
      <c r="O48" t="s">
        <v>243</v>
      </c>
      <c r="P48" t="s">
        <v>244</v>
      </c>
      <c r="Q48" t="s">
        <v>245</v>
      </c>
    </row>
    <row r="49" spans="1:18" x14ac:dyDescent="0.25">
      <c r="A49" t="s">
        <v>14</v>
      </c>
      <c r="B49" t="s">
        <v>104</v>
      </c>
      <c r="C49" s="4">
        <v>2.1552047592347332E-3</v>
      </c>
      <c r="D49" s="4">
        <v>2.1552047592347332E-3</v>
      </c>
      <c r="E49" s="4">
        <v>2.1552047592347332E-3</v>
      </c>
      <c r="F49" s="4">
        <v>2.1552047592347332E-3</v>
      </c>
      <c r="G49" s="4">
        <v>2.1552047592347332E-3</v>
      </c>
      <c r="H49" s="4">
        <v>2.1552047592347332E-3</v>
      </c>
      <c r="I49" s="4">
        <v>2.1552047592347332E-3</v>
      </c>
      <c r="J49" s="4">
        <v>2.1552047592347332E-3</v>
      </c>
      <c r="K49" s="4">
        <v>2.1552047592347332E-3</v>
      </c>
      <c r="L49" s="4">
        <v>2.1552047592347332E-3</v>
      </c>
      <c r="M49" s="4">
        <v>2.1552047592347332E-3</v>
      </c>
      <c r="N49" t="s">
        <v>242</v>
      </c>
      <c r="O49" t="s">
        <v>243</v>
      </c>
      <c r="P49" t="s">
        <v>244</v>
      </c>
      <c r="Q49" t="s">
        <v>245</v>
      </c>
    </row>
    <row r="50" spans="1:18" x14ac:dyDescent="0.25">
      <c r="A50" t="s">
        <v>14</v>
      </c>
      <c r="B50" t="s">
        <v>105</v>
      </c>
      <c r="C50" s="4">
        <v>2.117148505868757E-5</v>
      </c>
      <c r="D50" s="4">
        <v>2.117148505868757E-5</v>
      </c>
      <c r="E50" s="4">
        <v>2.117148505868757E-5</v>
      </c>
      <c r="F50" s="4">
        <v>2.117148505868757E-5</v>
      </c>
      <c r="G50" s="4">
        <v>2.117148505868757E-5</v>
      </c>
      <c r="H50" s="4">
        <v>2.117148505868757E-5</v>
      </c>
      <c r="I50" s="4">
        <v>2.117148505868757E-5</v>
      </c>
      <c r="J50" s="4">
        <v>2.117148505868757E-5</v>
      </c>
      <c r="K50" s="4">
        <v>2.117148505868757E-5</v>
      </c>
      <c r="L50" s="4">
        <v>2.117148505868757E-5</v>
      </c>
      <c r="M50" s="4">
        <v>2.117148505868757E-5</v>
      </c>
      <c r="N50" t="s">
        <v>242</v>
      </c>
      <c r="O50" t="s">
        <v>243</v>
      </c>
      <c r="P50" t="s">
        <v>244</v>
      </c>
      <c r="Q50" t="s">
        <v>245</v>
      </c>
    </row>
    <row r="51" spans="1:18" x14ac:dyDescent="0.25">
      <c r="A51" t="s">
        <v>14</v>
      </c>
      <c r="B51" t="s">
        <v>106</v>
      </c>
      <c r="C51" s="4">
        <v>3.0570738423678129E-4</v>
      </c>
      <c r="D51" s="4">
        <v>3.0570738423678129E-4</v>
      </c>
      <c r="E51" s="4">
        <v>3.0570738423678129E-4</v>
      </c>
      <c r="F51" s="4">
        <v>3.0570738423678129E-4</v>
      </c>
      <c r="G51" s="4">
        <v>3.0570738423678129E-4</v>
      </c>
      <c r="H51" s="4">
        <v>3.0570738423678129E-4</v>
      </c>
      <c r="I51" s="4">
        <v>3.0570738423678129E-4</v>
      </c>
      <c r="J51" s="4">
        <v>3.0570738423678129E-4</v>
      </c>
      <c r="K51" s="4">
        <v>3.0570738423678129E-4</v>
      </c>
      <c r="L51" s="4">
        <v>3.0570738423678129E-4</v>
      </c>
      <c r="M51" s="4">
        <v>3.0570738423678129E-4</v>
      </c>
      <c r="N51" t="s">
        <v>242</v>
      </c>
      <c r="O51" t="s">
        <v>243</v>
      </c>
      <c r="P51" t="s">
        <v>244</v>
      </c>
      <c r="Q51" t="s">
        <v>245</v>
      </c>
    </row>
    <row r="52" spans="1:18" x14ac:dyDescent="0.25">
      <c r="A52" t="s">
        <v>14</v>
      </c>
      <c r="B52" t="s">
        <v>107</v>
      </c>
      <c r="C52" s="4">
        <v>1.6715210151661709E-2</v>
      </c>
      <c r="D52" s="4">
        <v>1.6715210151661709E-2</v>
      </c>
      <c r="E52" s="4">
        <v>1.6715210151661709E-2</v>
      </c>
      <c r="F52" s="4">
        <v>1.6715210151661709E-2</v>
      </c>
      <c r="G52" s="4">
        <v>1.6715210151661709E-2</v>
      </c>
      <c r="H52" s="4">
        <v>1.6715210151661709E-2</v>
      </c>
      <c r="I52" s="4">
        <v>1.6715210151661709E-2</v>
      </c>
      <c r="J52" s="4">
        <v>1.6715210151661709E-2</v>
      </c>
      <c r="K52" s="4">
        <v>1.6715210151661709E-2</v>
      </c>
      <c r="L52" s="4">
        <v>1.6715210151661709E-2</v>
      </c>
      <c r="M52" s="4">
        <v>1.6715210151661709E-2</v>
      </c>
      <c r="N52" t="s">
        <v>242</v>
      </c>
      <c r="O52" t="s">
        <v>243</v>
      </c>
      <c r="P52" t="s">
        <v>244</v>
      </c>
      <c r="Q52" t="s">
        <v>245</v>
      </c>
    </row>
    <row r="53" spans="1:18" x14ac:dyDescent="0.25">
      <c r="A53" t="s">
        <v>14</v>
      </c>
      <c r="B53" t="s">
        <v>108</v>
      </c>
      <c r="C53" s="4">
        <v>1.474062781474374E-2</v>
      </c>
      <c r="D53" s="4">
        <v>1.474062781474374E-2</v>
      </c>
      <c r="E53" s="4">
        <v>1.474062781474374E-2</v>
      </c>
      <c r="F53" s="4">
        <v>1.474062781474374E-2</v>
      </c>
      <c r="G53" s="4">
        <v>1.474062781474374E-2</v>
      </c>
      <c r="H53" s="4">
        <v>1.474062781474374E-2</v>
      </c>
      <c r="I53" s="4">
        <v>1.474062781474374E-2</v>
      </c>
      <c r="J53" s="4">
        <v>1.474062781474374E-2</v>
      </c>
      <c r="K53" s="4">
        <v>1.474062781474374E-2</v>
      </c>
      <c r="L53" s="4">
        <v>1.474062781474374E-2</v>
      </c>
      <c r="M53" s="4">
        <v>1.474062781474374E-2</v>
      </c>
      <c r="N53" t="s">
        <v>242</v>
      </c>
      <c r="O53" t="s">
        <v>243</v>
      </c>
      <c r="P53" t="s">
        <v>244</v>
      </c>
      <c r="Q53" t="s">
        <v>245</v>
      </c>
    </row>
    <row r="54" spans="1:18" x14ac:dyDescent="0.25">
      <c r="A54" t="s">
        <v>14</v>
      </c>
      <c r="B54" t="s">
        <v>109</v>
      </c>
      <c r="C54" s="4">
        <v>5.2049404350856306E-3</v>
      </c>
      <c r="D54" s="4">
        <v>5.2049404350856306E-3</v>
      </c>
      <c r="E54" s="4">
        <v>5.2049404350856306E-3</v>
      </c>
      <c r="F54" s="4">
        <v>5.2049404350856306E-3</v>
      </c>
      <c r="G54" s="4">
        <v>5.2049404350856306E-3</v>
      </c>
      <c r="H54" s="4">
        <v>5.2049404350856306E-3</v>
      </c>
      <c r="I54" s="4">
        <v>5.2049404350856306E-3</v>
      </c>
      <c r="J54" s="4">
        <v>5.2049404350856306E-3</v>
      </c>
      <c r="K54" s="4">
        <v>5.2049404350856306E-3</v>
      </c>
      <c r="L54" s="4">
        <v>5.2049404350856306E-3</v>
      </c>
      <c r="M54" s="4">
        <v>5.2049404350856306E-3</v>
      </c>
      <c r="N54" t="s">
        <v>242</v>
      </c>
      <c r="O54" t="s">
        <v>243</v>
      </c>
      <c r="P54" t="s">
        <v>244</v>
      </c>
      <c r="Q54" t="s">
        <v>245</v>
      </c>
    </row>
    <row r="55" spans="1:18" x14ac:dyDescent="0.25">
      <c r="A55" t="s">
        <v>14</v>
      </c>
      <c r="B55" t="s">
        <v>110</v>
      </c>
      <c r="C55" s="4">
        <v>3.0872719110705679E-3</v>
      </c>
      <c r="D55" s="4">
        <v>3.0872719110705679E-3</v>
      </c>
      <c r="E55" s="4">
        <v>3.0872719110705679E-3</v>
      </c>
      <c r="F55" s="4">
        <v>3.0872719110705679E-3</v>
      </c>
      <c r="G55" s="4">
        <v>3.0872719110705679E-3</v>
      </c>
      <c r="H55" s="4">
        <v>3.0872719110705679E-3</v>
      </c>
      <c r="I55" s="4">
        <v>3.0872719110705679E-3</v>
      </c>
      <c r="J55" s="4">
        <v>3.0872719110705679E-3</v>
      </c>
      <c r="K55" s="4">
        <v>3.0872719110705679E-3</v>
      </c>
      <c r="L55" s="4">
        <v>3.0872719110705679E-3</v>
      </c>
      <c r="M55" s="4">
        <v>3.0872719110705679E-3</v>
      </c>
      <c r="N55" t="s">
        <v>242</v>
      </c>
      <c r="O55" t="s">
        <v>243</v>
      </c>
      <c r="P55" t="s">
        <v>244</v>
      </c>
      <c r="Q55" t="s">
        <v>245</v>
      </c>
    </row>
    <row r="56" spans="1:18" x14ac:dyDescent="0.25">
      <c r="A56" t="s">
        <v>14</v>
      </c>
      <c r="B56" t="s">
        <v>111</v>
      </c>
      <c r="C56" s="4">
        <v>1.134367942570891E-8</v>
      </c>
      <c r="D56" s="4">
        <v>1.134367942570891E-8</v>
      </c>
      <c r="E56" s="4">
        <v>1.134367942570891E-8</v>
      </c>
      <c r="F56" s="4">
        <v>1.134367942570891E-8</v>
      </c>
      <c r="G56" s="4">
        <v>1.134367942570891E-8</v>
      </c>
      <c r="H56" s="4">
        <v>1.134367942570891E-8</v>
      </c>
      <c r="I56" s="4">
        <v>1.134367942570891E-8</v>
      </c>
      <c r="J56" s="4">
        <v>1.134367942570891E-8</v>
      </c>
      <c r="K56" s="4">
        <v>1.134367942570891E-8</v>
      </c>
      <c r="L56" s="4">
        <v>1.134367942570891E-8</v>
      </c>
      <c r="M56" s="4">
        <v>1.134367942570891E-8</v>
      </c>
      <c r="N56" t="s">
        <v>242</v>
      </c>
      <c r="O56" t="s">
        <v>243</v>
      </c>
      <c r="P56" t="s">
        <v>244</v>
      </c>
      <c r="Q56" t="s">
        <v>245</v>
      </c>
    </row>
    <row r="57" spans="1:18" x14ac:dyDescent="0.25">
      <c r="A57" t="s">
        <v>14</v>
      </c>
      <c r="B57" t="s">
        <v>112</v>
      </c>
      <c r="C57" s="4">
        <v>5.8612881148001851E-3</v>
      </c>
      <c r="D57" s="4">
        <v>5.8612881148001851E-3</v>
      </c>
      <c r="E57" s="4">
        <v>5.8612881148001851E-3</v>
      </c>
      <c r="F57" s="4">
        <v>5.8612881148001851E-3</v>
      </c>
      <c r="G57" s="4">
        <v>5.8612881148001851E-3</v>
      </c>
      <c r="H57" s="4">
        <v>5.8612881148001851E-3</v>
      </c>
      <c r="I57" s="4">
        <v>5.8612881148001851E-3</v>
      </c>
      <c r="J57" s="4">
        <v>5.8612881148001851E-3</v>
      </c>
      <c r="K57" s="4">
        <v>5.8612881148001851E-3</v>
      </c>
      <c r="L57" s="4">
        <v>5.8612881148001851E-3</v>
      </c>
      <c r="M57" s="4">
        <v>5.8612881148001851E-3</v>
      </c>
      <c r="N57" t="s">
        <v>242</v>
      </c>
      <c r="O57" t="s">
        <v>243</v>
      </c>
      <c r="P57" t="s">
        <v>244</v>
      </c>
      <c r="Q57" t="s">
        <v>245</v>
      </c>
    </row>
    <row r="58" spans="1:18" x14ac:dyDescent="0.25">
      <c r="A58" t="s">
        <v>14</v>
      </c>
      <c r="B58" t="s">
        <v>113</v>
      </c>
      <c r="C58" s="4">
        <v>5.5113326193382693E-4</v>
      </c>
      <c r="D58" s="4">
        <v>5.5113326193382693E-4</v>
      </c>
      <c r="E58" s="4">
        <v>5.5113326193382693E-4</v>
      </c>
      <c r="F58" s="4">
        <v>5.5113326193382693E-4</v>
      </c>
      <c r="G58" s="4">
        <v>5.5113326193382693E-4</v>
      </c>
      <c r="H58" s="4">
        <v>5.5113326193382693E-4</v>
      </c>
      <c r="I58" s="4">
        <v>5.5113326193382693E-4</v>
      </c>
      <c r="J58" s="4">
        <v>5.5113326193382693E-4</v>
      </c>
      <c r="K58" s="4">
        <v>5.5113326193382693E-4</v>
      </c>
      <c r="L58" s="4">
        <v>5.5113326193382693E-4</v>
      </c>
      <c r="M58" s="4">
        <v>5.5113326193382693E-4</v>
      </c>
      <c r="N58" t="s">
        <v>242</v>
      </c>
      <c r="O58" t="s">
        <v>243</v>
      </c>
      <c r="P58" t="s">
        <v>244</v>
      </c>
      <c r="Q58" t="s">
        <v>245</v>
      </c>
    </row>
    <row r="59" spans="1:18" x14ac:dyDescent="0.25">
      <c r="A59" t="s">
        <v>14</v>
      </c>
      <c r="B59" t="s">
        <v>114</v>
      </c>
      <c r="C59" s="4">
        <v>2.2794705880930591E-4</v>
      </c>
      <c r="D59" s="4">
        <v>2.2794705880930591E-4</v>
      </c>
      <c r="E59" s="4">
        <v>2.2794705880930591E-4</v>
      </c>
      <c r="F59" s="4">
        <v>2.2794705880930591E-4</v>
      </c>
      <c r="G59" s="4">
        <v>2.2794705880930591E-4</v>
      </c>
      <c r="H59" s="4">
        <v>2.2794705880930591E-4</v>
      </c>
      <c r="I59" s="4">
        <v>2.2794705880930591E-4</v>
      </c>
      <c r="J59" s="4">
        <v>2.2794705880930591E-4</v>
      </c>
      <c r="K59" s="4">
        <v>2.2794705880930591E-4</v>
      </c>
      <c r="L59" s="4">
        <v>2.2794705880930591E-4</v>
      </c>
      <c r="M59" s="4">
        <v>2.2794705880930591E-4</v>
      </c>
      <c r="N59" t="s">
        <v>242</v>
      </c>
      <c r="O59" t="s">
        <v>243</v>
      </c>
      <c r="P59" t="s">
        <v>244</v>
      </c>
      <c r="Q59" t="s">
        <v>245</v>
      </c>
    </row>
    <row r="60" spans="1:18" x14ac:dyDescent="0.25">
      <c r="A60" t="s">
        <v>14</v>
      </c>
      <c r="B60" t="s">
        <v>115</v>
      </c>
      <c r="C60" s="4">
        <v>9.5464226796451498E-3</v>
      </c>
      <c r="D60" s="4">
        <v>9.5464226796451498E-3</v>
      </c>
      <c r="E60" s="4">
        <v>9.5464226796451498E-3</v>
      </c>
      <c r="F60" s="4">
        <v>9.5464226796451498E-3</v>
      </c>
      <c r="G60" s="4">
        <v>9.5464226796451498E-3</v>
      </c>
      <c r="H60" s="4">
        <v>9.5464226796451498E-3</v>
      </c>
      <c r="I60" s="4">
        <v>9.5464226796451498E-3</v>
      </c>
      <c r="J60" s="4">
        <v>9.5464226796451498E-3</v>
      </c>
      <c r="K60" s="4">
        <v>9.5464226796451498E-3</v>
      </c>
      <c r="L60" s="4">
        <v>9.5464226796451498E-3</v>
      </c>
      <c r="M60" s="4">
        <v>9.5464226796451498E-3</v>
      </c>
      <c r="N60" t="s">
        <v>242</v>
      </c>
      <c r="O60" t="s">
        <v>243</v>
      </c>
      <c r="P60" t="s">
        <v>244</v>
      </c>
      <c r="Q60" t="s">
        <v>245</v>
      </c>
    </row>
    <row r="61" spans="1:18" x14ac:dyDescent="0.25">
      <c r="A61" t="s">
        <v>250</v>
      </c>
      <c r="B61" t="s">
        <v>83</v>
      </c>
      <c r="C61" s="4">
        <v>0.15362225113108349</v>
      </c>
      <c r="D61" s="4">
        <v>0.15362225113108349</v>
      </c>
      <c r="E61" s="4">
        <v>0.15362225113108349</v>
      </c>
      <c r="F61" s="4">
        <v>0.15362225113108349</v>
      </c>
      <c r="G61" s="4">
        <v>0.15362225113108349</v>
      </c>
      <c r="H61" s="4">
        <v>0.15362225113108349</v>
      </c>
      <c r="I61" s="4">
        <v>0.15362225113108349</v>
      </c>
      <c r="J61" s="4">
        <v>0.15362225113108349</v>
      </c>
      <c r="K61" s="4">
        <v>0.15362225113108349</v>
      </c>
      <c r="L61" s="4">
        <v>0.15362225113108349</v>
      </c>
      <c r="M61" s="4">
        <v>0.15362225113108349</v>
      </c>
      <c r="N61" t="s">
        <v>248</v>
      </c>
      <c r="O61" t="s">
        <v>249</v>
      </c>
      <c r="P61" t="s">
        <v>250</v>
      </c>
      <c r="Q61" t="s">
        <v>245</v>
      </c>
      <c r="R61" t="s">
        <v>260</v>
      </c>
    </row>
    <row r="62" spans="1:18" x14ac:dyDescent="0.25">
      <c r="A62" t="s">
        <v>246</v>
      </c>
      <c r="B62" t="s">
        <v>83</v>
      </c>
      <c r="C62" s="4">
        <v>0.15362225113108349</v>
      </c>
      <c r="D62" s="4">
        <v>0.15362225113108349</v>
      </c>
      <c r="E62" s="4">
        <v>0.15362225113108349</v>
      </c>
      <c r="F62" s="4">
        <v>0.15362225113108349</v>
      </c>
      <c r="G62" s="4">
        <v>0.15362225113108349</v>
      </c>
      <c r="H62" s="4">
        <v>0.15362225113108349</v>
      </c>
      <c r="I62" s="4">
        <v>0.15362225113108349</v>
      </c>
      <c r="J62" s="4">
        <v>0.15362225113108349</v>
      </c>
      <c r="K62" s="4">
        <v>0.15362225113108349</v>
      </c>
      <c r="L62" s="4">
        <v>0.15362225113108349</v>
      </c>
      <c r="M62" s="4">
        <v>0.15362225113108349</v>
      </c>
      <c r="N62" t="s">
        <v>248</v>
      </c>
      <c r="O62" t="s">
        <v>247</v>
      </c>
      <c r="P62" t="s">
        <v>246</v>
      </c>
      <c r="Q62" t="s">
        <v>245</v>
      </c>
      <c r="R62" t="s">
        <v>590</v>
      </c>
    </row>
    <row r="63" spans="1:18" x14ac:dyDescent="0.25">
      <c r="A63" t="s">
        <v>250</v>
      </c>
      <c r="B63" t="s">
        <v>84</v>
      </c>
      <c r="C63" s="4">
        <v>1.529314362442395E-3</v>
      </c>
      <c r="D63" s="4">
        <v>1.529314362442395E-3</v>
      </c>
      <c r="E63" s="4">
        <v>1.529314362442395E-3</v>
      </c>
      <c r="F63" s="4">
        <v>1.529314362442395E-3</v>
      </c>
      <c r="G63" s="4">
        <v>1.529314362442395E-3</v>
      </c>
      <c r="H63" s="4">
        <v>1.529314362442395E-3</v>
      </c>
      <c r="I63" s="4">
        <v>1.529314362442395E-3</v>
      </c>
      <c r="J63" s="4">
        <v>1.529314362442395E-3</v>
      </c>
      <c r="K63" s="4">
        <v>1.529314362442395E-3</v>
      </c>
      <c r="L63" s="4">
        <v>1.529314362442395E-3</v>
      </c>
      <c r="M63" s="4">
        <v>1.529314362442395E-3</v>
      </c>
      <c r="N63" t="s">
        <v>251</v>
      </c>
      <c r="O63" t="s">
        <v>249</v>
      </c>
      <c r="P63" t="s">
        <v>250</v>
      </c>
      <c r="Q63" t="s">
        <v>245</v>
      </c>
    </row>
    <row r="64" spans="1:18" x14ac:dyDescent="0.25">
      <c r="A64" t="s">
        <v>246</v>
      </c>
      <c r="B64" t="s">
        <v>84</v>
      </c>
      <c r="C64" s="4">
        <v>1.529314362442395E-3</v>
      </c>
      <c r="D64" s="4">
        <v>1.529314362442395E-3</v>
      </c>
      <c r="E64" s="4">
        <v>1.529314362442395E-3</v>
      </c>
      <c r="F64" s="4">
        <v>1.529314362442395E-3</v>
      </c>
      <c r="G64" s="4">
        <v>1.529314362442395E-3</v>
      </c>
      <c r="H64" s="4">
        <v>1.529314362442395E-3</v>
      </c>
      <c r="I64" s="4">
        <v>1.529314362442395E-3</v>
      </c>
      <c r="J64" s="4">
        <v>1.529314362442395E-3</v>
      </c>
      <c r="K64" s="4">
        <v>1.529314362442395E-3</v>
      </c>
      <c r="L64" s="4">
        <v>1.529314362442395E-3</v>
      </c>
      <c r="M64" s="4">
        <v>1.529314362442395E-3</v>
      </c>
      <c r="N64" t="s">
        <v>251</v>
      </c>
      <c r="O64" t="s">
        <v>247</v>
      </c>
      <c r="P64" t="s">
        <v>246</v>
      </c>
      <c r="Q64" t="s">
        <v>245</v>
      </c>
    </row>
    <row r="65" spans="1:18" x14ac:dyDescent="0.25">
      <c r="A65" t="s">
        <v>250</v>
      </c>
      <c r="B65" t="s">
        <v>85</v>
      </c>
      <c r="C65" s="4">
        <v>7.4890552063986704E-2</v>
      </c>
      <c r="D65" s="4">
        <v>7.4890552063986704E-2</v>
      </c>
      <c r="E65" s="4">
        <v>7.4890552063986704E-2</v>
      </c>
      <c r="F65" s="4">
        <v>7.4890552063986704E-2</v>
      </c>
      <c r="G65" s="4">
        <v>7.4890552063986704E-2</v>
      </c>
      <c r="H65" s="4">
        <v>7.4890552063986704E-2</v>
      </c>
      <c r="I65" s="4">
        <v>7.4890552063986704E-2</v>
      </c>
      <c r="J65" s="4">
        <v>7.4890552063986704E-2</v>
      </c>
      <c r="K65" s="4">
        <v>7.4890552063986704E-2</v>
      </c>
      <c r="L65" s="4">
        <v>7.4890552063986704E-2</v>
      </c>
      <c r="M65" s="4">
        <v>7.4890552063986704E-2</v>
      </c>
      <c r="N65" t="s">
        <v>252</v>
      </c>
      <c r="O65" t="s">
        <v>249</v>
      </c>
      <c r="P65" t="s">
        <v>250</v>
      </c>
      <c r="Q65" t="s">
        <v>245</v>
      </c>
    </row>
    <row r="66" spans="1:18" ht="17.25" customHeight="1" x14ac:dyDescent="0.25">
      <c r="A66" t="s">
        <v>246</v>
      </c>
      <c r="B66" t="s">
        <v>85</v>
      </c>
      <c r="C66" s="4">
        <v>7.4890552063986704E-2</v>
      </c>
      <c r="D66" s="4">
        <v>7.4890552063986704E-2</v>
      </c>
      <c r="E66" s="4">
        <v>7.4890552063986704E-2</v>
      </c>
      <c r="F66" s="4">
        <v>7.4890552063986704E-2</v>
      </c>
      <c r="G66" s="4">
        <v>7.4890552063986704E-2</v>
      </c>
      <c r="H66" s="4">
        <v>7.4890552063986704E-2</v>
      </c>
      <c r="I66" s="4">
        <v>7.4890552063986704E-2</v>
      </c>
      <c r="J66" s="4">
        <v>7.4890552063986704E-2</v>
      </c>
      <c r="K66" s="4">
        <v>7.4890552063986704E-2</v>
      </c>
      <c r="L66" s="4">
        <v>7.4890552063986704E-2</v>
      </c>
      <c r="M66" s="4">
        <v>7.4890552063986704E-2</v>
      </c>
      <c r="N66" t="s">
        <v>252</v>
      </c>
      <c r="O66" t="s">
        <v>247</v>
      </c>
      <c r="P66" t="s">
        <v>246</v>
      </c>
      <c r="Q66" t="s">
        <v>245</v>
      </c>
      <c r="R66" s="5" t="s">
        <v>259</v>
      </c>
    </row>
    <row r="67" spans="1:18" x14ac:dyDescent="0.25">
      <c r="A67" t="s">
        <v>250</v>
      </c>
      <c r="B67" t="s">
        <v>116</v>
      </c>
      <c r="C67" s="4">
        <v>1.149222165076294E-2</v>
      </c>
      <c r="D67" s="4">
        <v>1.149222165076294E-2</v>
      </c>
      <c r="E67" s="4">
        <v>1.149222165076294E-2</v>
      </c>
      <c r="F67" s="4">
        <v>1.149222165076294E-2</v>
      </c>
      <c r="G67" s="4">
        <v>1.149222165076294E-2</v>
      </c>
      <c r="H67" s="4">
        <v>1.149222165076294E-2</v>
      </c>
      <c r="I67" s="4">
        <v>1.149222165076294E-2</v>
      </c>
      <c r="J67" s="4">
        <v>1.149222165076294E-2</v>
      </c>
      <c r="K67" s="4">
        <v>1.149222165076294E-2</v>
      </c>
      <c r="L67" s="4">
        <v>1.149222165076294E-2</v>
      </c>
      <c r="M67" s="4">
        <v>1.149222165076294E-2</v>
      </c>
      <c r="N67" t="s">
        <v>253</v>
      </c>
      <c r="O67" t="s">
        <v>249</v>
      </c>
      <c r="P67" t="s">
        <v>250</v>
      </c>
      <c r="Q67" t="s">
        <v>245</v>
      </c>
    </row>
    <row r="68" spans="1:18" x14ac:dyDescent="0.25">
      <c r="A68" t="s">
        <v>246</v>
      </c>
      <c r="B68" t="s">
        <v>116</v>
      </c>
      <c r="C68" s="4">
        <v>1.149222165076294E-2</v>
      </c>
      <c r="D68" s="4">
        <v>1.149222165076294E-2</v>
      </c>
      <c r="E68" s="4">
        <v>1.149222165076294E-2</v>
      </c>
      <c r="F68" s="4">
        <v>1.149222165076294E-2</v>
      </c>
      <c r="G68" s="4">
        <v>1.149222165076294E-2</v>
      </c>
      <c r="H68" s="4">
        <v>1.149222165076294E-2</v>
      </c>
      <c r="I68" s="4">
        <v>1.149222165076294E-2</v>
      </c>
      <c r="J68" s="4">
        <v>1.149222165076294E-2</v>
      </c>
      <c r="K68" s="4">
        <v>1.149222165076294E-2</v>
      </c>
      <c r="L68" s="4">
        <v>1.149222165076294E-2</v>
      </c>
      <c r="M68" s="4">
        <v>1.149222165076294E-2</v>
      </c>
      <c r="N68" t="s">
        <v>253</v>
      </c>
      <c r="O68" t="s">
        <v>247</v>
      </c>
      <c r="P68" t="s">
        <v>246</v>
      </c>
      <c r="Q68" t="s">
        <v>245</v>
      </c>
    </row>
    <row r="69" spans="1:18" x14ac:dyDescent="0.25">
      <c r="A69" t="s">
        <v>250</v>
      </c>
      <c r="B69" t="s">
        <v>86</v>
      </c>
      <c r="C69" s="4">
        <v>0.54801746413232022</v>
      </c>
      <c r="D69" s="4">
        <v>0.54801746413232022</v>
      </c>
      <c r="E69" s="4">
        <v>0.54801746413232022</v>
      </c>
      <c r="F69" s="4">
        <v>0.54801746413232022</v>
      </c>
      <c r="G69" s="4">
        <v>0.54801746413232022</v>
      </c>
      <c r="H69" s="4">
        <v>0.54801746413232022</v>
      </c>
      <c r="I69" s="4">
        <v>0.54801746413232022</v>
      </c>
      <c r="J69" s="4">
        <v>0.54801746413232022</v>
      </c>
      <c r="K69" s="4">
        <v>0.54801746413232022</v>
      </c>
      <c r="L69" s="4">
        <v>0.54801746413232022</v>
      </c>
      <c r="M69" s="4">
        <v>0.54801746413232022</v>
      </c>
      <c r="N69" t="s">
        <v>254</v>
      </c>
      <c r="O69" t="s">
        <v>249</v>
      </c>
      <c r="P69" t="s">
        <v>250</v>
      </c>
      <c r="Q69" t="s">
        <v>245</v>
      </c>
    </row>
    <row r="70" spans="1:18" x14ac:dyDescent="0.25">
      <c r="A70" t="s">
        <v>246</v>
      </c>
      <c r="B70" t="s">
        <v>86</v>
      </c>
      <c r="C70" s="4">
        <v>0.54801746413232022</v>
      </c>
      <c r="D70" s="4">
        <v>0.54801746413232022</v>
      </c>
      <c r="E70" s="4">
        <v>0.54801746413232022</v>
      </c>
      <c r="F70" s="4">
        <v>0.54801746413232022</v>
      </c>
      <c r="G70" s="4">
        <v>0.54801746413232022</v>
      </c>
      <c r="H70" s="4">
        <v>0.54801746413232022</v>
      </c>
      <c r="I70" s="4">
        <v>0.54801746413232022</v>
      </c>
      <c r="J70" s="4">
        <v>0.54801746413232022</v>
      </c>
      <c r="K70" s="4">
        <v>0.54801746413232022</v>
      </c>
      <c r="L70" s="4">
        <v>0.54801746413232022</v>
      </c>
      <c r="M70" s="4">
        <v>0.54801746413232022</v>
      </c>
      <c r="N70" t="s">
        <v>254</v>
      </c>
      <c r="O70" t="s">
        <v>247</v>
      </c>
      <c r="P70" t="s">
        <v>246</v>
      </c>
      <c r="Q70" t="s">
        <v>245</v>
      </c>
    </row>
    <row r="71" spans="1:18" x14ac:dyDescent="0.25">
      <c r="A71" t="s">
        <v>250</v>
      </c>
      <c r="B71" t="s">
        <v>91</v>
      </c>
      <c r="C71" s="4">
        <v>3.756118986391339E-3</v>
      </c>
      <c r="D71" s="4">
        <v>3.756118986391339E-3</v>
      </c>
      <c r="E71" s="4">
        <v>3.756118986391339E-3</v>
      </c>
      <c r="F71" s="4">
        <v>3.756118986391339E-3</v>
      </c>
      <c r="G71" s="4">
        <v>3.756118986391339E-3</v>
      </c>
      <c r="H71" s="4">
        <v>3.756118986391339E-3</v>
      </c>
      <c r="I71" s="4">
        <v>3.756118986391339E-3</v>
      </c>
      <c r="J71" s="4">
        <v>3.756118986391339E-3</v>
      </c>
      <c r="K71" s="4">
        <v>3.756118986391339E-3</v>
      </c>
      <c r="L71" s="4">
        <v>3.756118986391339E-3</v>
      </c>
      <c r="M71" s="4">
        <v>3.756118986391339E-3</v>
      </c>
      <c r="N71" t="s">
        <v>255</v>
      </c>
      <c r="O71" t="s">
        <v>249</v>
      </c>
      <c r="P71" t="s">
        <v>250</v>
      </c>
      <c r="Q71" t="s">
        <v>245</v>
      </c>
    </row>
    <row r="72" spans="1:18" x14ac:dyDescent="0.25">
      <c r="A72" t="s">
        <v>246</v>
      </c>
      <c r="B72" t="s">
        <v>91</v>
      </c>
      <c r="C72" s="4">
        <v>3.756118986391339E-3</v>
      </c>
      <c r="D72" s="4">
        <v>3.756118986391339E-3</v>
      </c>
      <c r="E72" s="4">
        <v>3.756118986391339E-3</v>
      </c>
      <c r="F72" s="4">
        <v>3.756118986391339E-3</v>
      </c>
      <c r="G72" s="4">
        <v>3.756118986391339E-3</v>
      </c>
      <c r="H72" s="4">
        <v>3.756118986391339E-3</v>
      </c>
      <c r="I72" s="4">
        <v>3.756118986391339E-3</v>
      </c>
      <c r="J72" s="4">
        <v>3.756118986391339E-3</v>
      </c>
      <c r="K72" s="4">
        <v>3.756118986391339E-3</v>
      </c>
      <c r="L72" s="4">
        <v>3.756118986391339E-3</v>
      </c>
      <c r="M72" s="4">
        <v>3.756118986391339E-3</v>
      </c>
      <c r="N72" t="s">
        <v>255</v>
      </c>
      <c r="O72" t="s">
        <v>247</v>
      </c>
      <c r="P72" t="s">
        <v>246</v>
      </c>
      <c r="Q72" t="s">
        <v>245</v>
      </c>
    </row>
    <row r="73" spans="1:18" x14ac:dyDescent="0.25">
      <c r="A73" t="s">
        <v>250</v>
      </c>
      <c r="B73" t="s">
        <v>117</v>
      </c>
      <c r="C73" s="4">
        <v>7.7000439221022454E-3</v>
      </c>
      <c r="D73" s="4">
        <v>7.7000439221022454E-3</v>
      </c>
      <c r="E73" s="4">
        <v>7.7000439221022454E-3</v>
      </c>
      <c r="F73" s="4">
        <v>7.7000439221022454E-3</v>
      </c>
      <c r="G73" s="4">
        <v>7.7000439221022454E-3</v>
      </c>
      <c r="H73" s="4">
        <v>7.7000439221022454E-3</v>
      </c>
      <c r="I73" s="4">
        <v>7.7000439221022454E-3</v>
      </c>
      <c r="J73" s="4">
        <v>7.7000439221022454E-3</v>
      </c>
      <c r="K73" s="4">
        <v>7.7000439221022454E-3</v>
      </c>
      <c r="L73" s="4">
        <v>7.7000439221022454E-3</v>
      </c>
      <c r="M73" s="4">
        <v>7.7000439221022454E-3</v>
      </c>
      <c r="N73" t="s">
        <v>255</v>
      </c>
      <c r="O73" t="s">
        <v>249</v>
      </c>
      <c r="P73" t="s">
        <v>250</v>
      </c>
      <c r="Q73" t="s">
        <v>245</v>
      </c>
    </row>
    <row r="74" spans="1:18" x14ac:dyDescent="0.25">
      <c r="A74" t="s">
        <v>246</v>
      </c>
      <c r="B74" t="s">
        <v>117</v>
      </c>
      <c r="C74" s="4">
        <v>7.7000439221022454E-3</v>
      </c>
      <c r="D74" s="4">
        <v>7.7000439221022454E-3</v>
      </c>
      <c r="E74" s="4">
        <v>7.7000439221022454E-3</v>
      </c>
      <c r="F74" s="4">
        <v>7.7000439221022454E-3</v>
      </c>
      <c r="G74" s="4">
        <v>7.7000439221022454E-3</v>
      </c>
      <c r="H74" s="4">
        <v>7.7000439221022454E-3</v>
      </c>
      <c r="I74" s="4">
        <v>7.7000439221022454E-3</v>
      </c>
      <c r="J74" s="4">
        <v>7.7000439221022454E-3</v>
      </c>
      <c r="K74" s="4">
        <v>7.7000439221022454E-3</v>
      </c>
      <c r="L74" s="4">
        <v>7.7000439221022454E-3</v>
      </c>
      <c r="M74" s="4">
        <v>7.7000439221022454E-3</v>
      </c>
      <c r="N74" t="s">
        <v>255</v>
      </c>
      <c r="O74" t="s">
        <v>247</v>
      </c>
      <c r="P74" t="s">
        <v>246</v>
      </c>
      <c r="Q74" t="s">
        <v>245</v>
      </c>
    </row>
    <row r="75" spans="1:18" x14ac:dyDescent="0.25">
      <c r="A75" t="s">
        <v>250</v>
      </c>
      <c r="B75" t="s">
        <v>93</v>
      </c>
      <c r="C75" s="4">
        <v>5.1773442639861476E-3</v>
      </c>
      <c r="D75" s="4">
        <v>5.1773442639861476E-3</v>
      </c>
      <c r="E75" s="4">
        <v>5.1773442639861476E-3</v>
      </c>
      <c r="F75" s="4">
        <v>5.1773442639861476E-3</v>
      </c>
      <c r="G75" s="4">
        <v>5.1773442639861476E-3</v>
      </c>
      <c r="H75" s="4">
        <v>5.1773442639861476E-3</v>
      </c>
      <c r="I75" s="4">
        <v>5.1773442639861476E-3</v>
      </c>
      <c r="J75" s="4">
        <v>5.1773442639861476E-3</v>
      </c>
      <c r="K75" s="4">
        <v>5.1773442639861476E-3</v>
      </c>
      <c r="L75" s="4">
        <v>5.1773442639861476E-3</v>
      </c>
      <c r="M75" s="4">
        <v>5.1773442639861476E-3</v>
      </c>
      <c r="N75" t="s">
        <v>255</v>
      </c>
      <c r="O75" t="s">
        <v>249</v>
      </c>
      <c r="P75" t="s">
        <v>250</v>
      </c>
      <c r="Q75" t="s">
        <v>245</v>
      </c>
    </row>
    <row r="76" spans="1:18" x14ac:dyDescent="0.25">
      <c r="A76" t="s">
        <v>246</v>
      </c>
      <c r="B76" t="s">
        <v>93</v>
      </c>
      <c r="C76" s="4">
        <v>5.1773442639861476E-3</v>
      </c>
      <c r="D76" s="4">
        <v>5.1773442639861476E-3</v>
      </c>
      <c r="E76" s="4">
        <v>5.1773442639861476E-3</v>
      </c>
      <c r="F76" s="4">
        <v>5.1773442639861476E-3</v>
      </c>
      <c r="G76" s="4">
        <v>5.1773442639861476E-3</v>
      </c>
      <c r="H76" s="4">
        <v>5.1773442639861476E-3</v>
      </c>
      <c r="I76" s="4">
        <v>5.1773442639861476E-3</v>
      </c>
      <c r="J76" s="4">
        <v>5.1773442639861476E-3</v>
      </c>
      <c r="K76" s="4">
        <v>5.1773442639861476E-3</v>
      </c>
      <c r="L76" s="4">
        <v>5.1773442639861476E-3</v>
      </c>
      <c r="M76" s="4">
        <v>5.1773442639861476E-3</v>
      </c>
      <c r="N76" t="s">
        <v>255</v>
      </c>
      <c r="O76" t="s">
        <v>247</v>
      </c>
      <c r="P76" t="s">
        <v>246</v>
      </c>
      <c r="Q76" t="s">
        <v>245</v>
      </c>
    </row>
    <row r="77" spans="1:18" x14ac:dyDescent="0.25">
      <c r="A77" t="s">
        <v>250</v>
      </c>
      <c r="B77" t="s">
        <v>94</v>
      </c>
      <c r="C77" s="4">
        <v>2.1232934969219711E-3</v>
      </c>
      <c r="D77" s="4">
        <v>2.1232934969219711E-3</v>
      </c>
      <c r="E77" s="4">
        <v>2.1232934969219711E-3</v>
      </c>
      <c r="F77" s="4">
        <v>2.1232934969219711E-3</v>
      </c>
      <c r="G77" s="4">
        <v>2.1232934969219711E-3</v>
      </c>
      <c r="H77" s="4">
        <v>2.1232934969219711E-3</v>
      </c>
      <c r="I77" s="4">
        <v>2.1232934969219711E-3</v>
      </c>
      <c r="J77" s="4">
        <v>2.1232934969219711E-3</v>
      </c>
      <c r="K77" s="4">
        <v>2.1232934969219711E-3</v>
      </c>
      <c r="L77" s="4">
        <v>2.1232934969219711E-3</v>
      </c>
      <c r="M77" s="4">
        <v>2.1232934969219711E-3</v>
      </c>
      <c r="N77" t="s">
        <v>256</v>
      </c>
      <c r="O77" t="s">
        <v>249</v>
      </c>
      <c r="P77" t="s">
        <v>250</v>
      </c>
      <c r="Q77" t="s">
        <v>245</v>
      </c>
    </row>
    <row r="78" spans="1:18" x14ac:dyDescent="0.25">
      <c r="A78" t="s">
        <v>246</v>
      </c>
      <c r="B78" t="s">
        <v>94</v>
      </c>
      <c r="C78" s="4">
        <v>2.1232934969219711E-3</v>
      </c>
      <c r="D78" s="4">
        <v>2.1232934969219711E-3</v>
      </c>
      <c r="E78" s="4">
        <v>2.1232934969219711E-3</v>
      </c>
      <c r="F78" s="4">
        <v>2.1232934969219711E-3</v>
      </c>
      <c r="G78" s="4">
        <v>2.1232934969219711E-3</v>
      </c>
      <c r="H78" s="4">
        <v>2.1232934969219711E-3</v>
      </c>
      <c r="I78" s="4">
        <v>2.1232934969219711E-3</v>
      </c>
      <c r="J78" s="4">
        <v>2.1232934969219711E-3</v>
      </c>
      <c r="K78" s="4">
        <v>2.1232934969219711E-3</v>
      </c>
      <c r="L78" s="4">
        <v>2.1232934969219711E-3</v>
      </c>
      <c r="M78" s="4">
        <v>2.1232934969219711E-3</v>
      </c>
      <c r="N78" t="s">
        <v>255</v>
      </c>
      <c r="O78" t="s">
        <v>247</v>
      </c>
      <c r="P78" t="s">
        <v>246</v>
      </c>
      <c r="Q78" t="s">
        <v>245</v>
      </c>
      <c r="R78" t="s">
        <v>257</v>
      </c>
    </row>
    <row r="79" spans="1:18" x14ac:dyDescent="0.25">
      <c r="A79" t="s">
        <v>250</v>
      </c>
      <c r="B79" t="s">
        <v>97</v>
      </c>
      <c r="C79" s="4">
        <v>4.9914042043342613E-2</v>
      </c>
      <c r="D79" s="4">
        <v>4.9914042043342613E-2</v>
      </c>
      <c r="E79" s="4">
        <v>4.9914042043342613E-2</v>
      </c>
      <c r="F79" s="4">
        <v>4.9914042043342613E-2</v>
      </c>
      <c r="G79" s="4">
        <v>4.9914042043342613E-2</v>
      </c>
      <c r="H79" s="4">
        <v>4.9914042043342613E-2</v>
      </c>
      <c r="I79" s="4">
        <v>4.9914042043342613E-2</v>
      </c>
      <c r="J79" s="4">
        <v>4.9914042043342613E-2</v>
      </c>
      <c r="K79" s="4">
        <v>4.9914042043342613E-2</v>
      </c>
      <c r="L79" s="4">
        <v>4.9914042043342613E-2</v>
      </c>
      <c r="M79" s="4">
        <v>4.9914042043342613E-2</v>
      </c>
      <c r="N79" t="s">
        <v>258</v>
      </c>
      <c r="O79" t="s">
        <v>249</v>
      </c>
      <c r="P79" t="s">
        <v>250</v>
      </c>
      <c r="Q79" t="s">
        <v>245</v>
      </c>
    </row>
    <row r="80" spans="1:18" x14ac:dyDescent="0.25">
      <c r="A80" t="s">
        <v>246</v>
      </c>
      <c r="B80" t="s">
        <v>97</v>
      </c>
      <c r="C80" s="4">
        <v>4.9914042043342613E-2</v>
      </c>
      <c r="D80" s="4">
        <v>4.9914042043342613E-2</v>
      </c>
      <c r="E80" s="4">
        <v>4.9914042043342613E-2</v>
      </c>
      <c r="F80" s="4">
        <v>4.9914042043342613E-2</v>
      </c>
      <c r="G80" s="4">
        <v>4.9914042043342613E-2</v>
      </c>
      <c r="H80" s="4">
        <v>4.9914042043342613E-2</v>
      </c>
      <c r="I80" s="4">
        <v>4.9914042043342613E-2</v>
      </c>
      <c r="J80" s="4">
        <v>4.9914042043342613E-2</v>
      </c>
      <c r="K80" s="4">
        <v>4.9914042043342613E-2</v>
      </c>
      <c r="L80" s="4">
        <v>4.9914042043342613E-2</v>
      </c>
      <c r="M80" s="4">
        <v>4.9914042043342613E-2</v>
      </c>
      <c r="N80" t="s">
        <v>258</v>
      </c>
      <c r="O80" t="s">
        <v>247</v>
      </c>
      <c r="P80" t="s">
        <v>246</v>
      </c>
      <c r="Q80" t="s">
        <v>245</v>
      </c>
    </row>
    <row r="81" spans="1:17" x14ac:dyDescent="0.25">
      <c r="A81" t="s">
        <v>250</v>
      </c>
      <c r="B81" t="s">
        <v>98</v>
      </c>
      <c r="C81" s="4">
        <v>8.1631839102574589E-3</v>
      </c>
      <c r="D81" s="4">
        <v>8.1631839102574589E-3</v>
      </c>
      <c r="E81" s="4">
        <v>8.1631839102574589E-3</v>
      </c>
      <c r="F81" s="4">
        <v>8.1631839102574589E-3</v>
      </c>
      <c r="G81" s="4">
        <v>8.1631839102574589E-3</v>
      </c>
      <c r="H81" s="4">
        <v>8.1631839102574589E-3</v>
      </c>
      <c r="I81" s="4">
        <v>8.1631839102574589E-3</v>
      </c>
      <c r="J81" s="4">
        <v>8.1631839102574589E-3</v>
      </c>
      <c r="K81" s="4">
        <v>8.1631839102574589E-3</v>
      </c>
      <c r="L81" s="4">
        <v>8.1631839102574589E-3</v>
      </c>
      <c r="M81" s="4">
        <v>8.1631839102574589E-3</v>
      </c>
      <c r="N81" t="s">
        <v>258</v>
      </c>
      <c r="O81" t="s">
        <v>249</v>
      </c>
      <c r="P81" t="s">
        <v>250</v>
      </c>
      <c r="Q81" t="s">
        <v>245</v>
      </c>
    </row>
    <row r="82" spans="1:17" x14ac:dyDescent="0.25">
      <c r="A82" t="s">
        <v>246</v>
      </c>
      <c r="B82" t="s">
        <v>98</v>
      </c>
      <c r="C82" s="4">
        <v>8.1631839102574589E-3</v>
      </c>
      <c r="D82" s="4">
        <v>8.1631839102574589E-3</v>
      </c>
      <c r="E82" s="4">
        <v>8.1631839102574589E-3</v>
      </c>
      <c r="F82" s="4">
        <v>8.1631839102574589E-3</v>
      </c>
      <c r="G82" s="4">
        <v>8.1631839102574589E-3</v>
      </c>
      <c r="H82" s="4">
        <v>8.1631839102574589E-3</v>
      </c>
      <c r="I82" s="4">
        <v>8.1631839102574589E-3</v>
      </c>
      <c r="J82" s="4">
        <v>8.1631839102574589E-3</v>
      </c>
      <c r="K82" s="4">
        <v>8.1631839102574589E-3</v>
      </c>
      <c r="L82" s="4">
        <v>8.1631839102574589E-3</v>
      </c>
      <c r="M82" s="4">
        <v>8.1631839102574589E-3</v>
      </c>
      <c r="N82" t="s">
        <v>258</v>
      </c>
      <c r="O82" t="s">
        <v>247</v>
      </c>
      <c r="P82" t="s">
        <v>246</v>
      </c>
      <c r="Q82" t="s">
        <v>245</v>
      </c>
    </row>
    <row r="83" spans="1:17" x14ac:dyDescent="0.25">
      <c r="A83" t="s">
        <v>250</v>
      </c>
      <c r="B83" t="s">
        <v>99</v>
      </c>
      <c r="C83" s="4">
        <v>1.763870471114184E-3</v>
      </c>
      <c r="D83" s="4">
        <v>1.763870471114184E-3</v>
      </c>
      <c r="E83" s="4">
        <v>1.763870471114184E-3</v>
      </c>
      <c r="F83" s="4">
        <v>1.763870471114184E-3</v>
      </c>
      <c r="G83" s="4">
        <v>1.763870471114184E-3</v>
      </c>
      <c r="H83" s="4">
        <v>1.763870471114184E-3</v>
      </c>
      <c r="I83" s="4">
        <v>1.763870471114184E-3</v>
      </c>
      <c r="J83" s="4">
        <v>1.763870471114184E-3</v>
      </c>
      <c r="K83" s="4">
        <v>1.763870471114184E-3</v>
      </c>
      <c r="L83" s="4">
        <v>1.763870471114184E-3</v>
      </c>
      <c r="M83" s="4">
        <v>1.763870471114184E-3</v>
      </c>
      <c r="N83" t="s">
        <v>258</v>
      </c>
      <c r="O83" t="s">
        <v>249</v>
      </c>
      <c r="P83" t="s">
        <v>250</v>
      </c>
      <c r="Q83" t="s">
        <v>245</v>
      </c>
    </row>
    <row r="84" spans="1:17" x14ac:dyDescent="0.25">
      <c r="A84" t="s">
        <v>246</v>
      </c>
      <c r="B84" t="s">
        <v>99</v>
      </c>
      <c r="C84" s="4">
        <v>1.763870471114184E-3</v>
      </c>
      <c r="D84" s="4">
        <v>1.763870471114184E-3</v>
      </c>
      <c r="E84" s="4">
        <v>1.763870471114184E-3</v>
      </c>
      <c r="F84" s="4">
        <v>1.763870471114184E-3</v>
      </c>
      <c r="G84" s="4">
        <v>1.763870471114184E-3</v>
      </c>
      <c r="H84" s="4">
        <v>1.763870471114184E-3</v>
      </c>
      <c r="I84" s="4">
        <v>1.763870471114184E-3</v>
      </c>
      <c r="J84" s="4">
        <v>1.763870471114184E-3</v>
      </c>
      <c r="K84" s="4">
        <v>1.763870471114184E-3</v>
      </c>
      <c r="L84" s="4">
        <v>1.763870471114184E-3</v>
      </c>
      <c r="M84" s="4">
        <v>1.763870471114184E-3</v>
      </c>
      <c r="N84" t="s">
        <v>258</v>
      </c>
      <c r="O84" t="s">
        <v>247</v>
      </c>
      <c r="P84" t="s">
        <v>246</v>
      </c>
      <c r="Q84" t="s">
        <v>245</v>
      </c>
    </row>
    <row r="85" spans="1:17" x14ac:dyDescent="0.25">
      <c r="A85" t="s">
        <v>250</v>
      </c>
      <c r="B85" t="s">
        <v>118</v>
      </c>
      <c r="C85" s="4">
        <v>1.3911853403892459E-2</v>
      </c>
      <c r="D85" s="4">
        <v>1.3911853403892459E-2</v>
      </c>
      <c r="E85" s="4">
        <v>1.3911853403892459E-2</v>
      </c>
      <c r="F85" s="4">
        <v>1.3911853403892459E-2</v>
      </c>
      <c r="G85" s="4">
        <v>1.3911853403892459E-2</v>
      </c>
      <c r="H85" s="4">
        <v>1.3911853403892459E-2</v>
      </c>
      <c r="I85" s="4">
        <v>1.3911853403892459E-2</v>
      </c>
      <c r="J85" s="4">
        <v>1.3911853403892459E-2</v>
      </c>
      <c r="K85" s="4">
        <v>1.3911853403892459E-2</v>
      </c>
      <c r="L85" s="4">
        <v>1.3911853403892459E-2</v>
      </c>
      <c r="M85" s="4">
        <v>1.3911853403892459E-2</v>
      </c>
      <c r="N85" t="s">
        <v>255</v>
      </c>
      <c r="O85" t="s">
        <v>249</v>
      </c>
      <c r="P85" t="s">
        <v>250</v>
      </c>
      <c r="Q85" t="s">
        <v>245</v>
      </c>
    </row>
    <row r="86" spans="1:17" x14ac:dyDescent="0.25">
      <c r="A86" t="s">
        <v>246</v>
      </c>
      <c r="B86" t="s">
        <v>118</v>
      </c>
      <c r="C86" s="4">
        <v>1.3911853403892459E-2</v>
      </c>
      <c r="D86" s="4">
        <v>1.3911853403892459E-2</v>
      </c>
      <c r="E86" s="4">
        <v>1.3911853403892459E-2</v>
      </c>
      <c r="F86" s="4">
        <v>1.3911853403892459E-2</v>
      </c>
      <c r="G86" s="4">
        <v>1.3911853403892459E-2</v>
      </c>
      <c r="H86" s="4">
        <v>1.3911853403892459E-2</v>
      </c>
      <c r="I86" s="4">
        <v>1.3911853403892459E-2</v>
      </c>
      <c r="J86" s="4">
        <v>1.3911853403892459E-2</v>
      </c>
      <c r="K86" s="4">
        <v>1.3911853403892459E-2</v>
      </c>
      <c r="L86" s="4">
        <v>1.3911853403892459E-2</v>
      </c>
      <c r="M86" s="4">
        <v>1.3911853403892459E-2</v>
      </c>
      <c r="N86" t="s">
        <v>255</v>
      </c>
      <c r="O86" t="s">
        <v>247</v>
      </c>
      <c r="P86" t="s">
        <v>246</v>
      </c>
      <c r="Q86" t="s">
        <v>245</v>
      </c>
    </row>
    <row r="87" spans="1:17" x14ac:dyDescent="0.25">
      <c r="A87" t="s">
        <v>250</v>
      </c>
      <c r="B87" t="s">
        <v>101</v>
      </c>
      <c r="C87" s="4">
        <v>1.385003519761443E-2</v>
      </c>
      <c r="D87" s="4">
        <v>1.385003519761443E-2</v>
      </c>
      <c r="E87" s="4">
        <v>1.385003519761443E-2</v>
      </c>
      <c r="F87" s="4">
        <v>1.385003519761443E-2</v>
      </c>
      <c r="G87" s="4">
        <v>1.385003519761443E-2</v>
      </c>
      <c r="H87" s="4">
        <v>1.385003519761443E-2</v>
      </c>
      <c r="I87" s="4">
        <v>1.385003519761443E-2</v>
      </c>
      <c r="J87" s="4">
        <v>1.385003519761443E-2</v>
      </c>
      <c r="K87" s="4">
        <v>1.385003519761443E-2</v>
      </c>
      <c r="L87" s="4">
        <v>1.385003519761443E-2</v>
      </c>
      <c r="M87" s="4">
        <v>1.385003519761443E-2</v>
      </c>
      <c r="N87" t="s">
        <v>253</v>
      </c>
      <c r="O87" t="s">
        <v>249</v>
      </c>
      <c r="P87" t="s">
        <v>250</v>
      </c>
      <c r="Q87" t="s">
        <v>245</v>
      </c>
    </row>
    <row r="88" spans="1:17" x14ac:dyDescent="0.25">
      <c r="A88" t="s">
        <v>246</v>
      </c>
      <c r="B88" t="s">
        <v>101</v>
      </c>
      <c r="C88" s="4">
        <v>1.385003519761443E-2</v>
      </c>
      <c r="D88" s="4">
        <v>1.385003519761443E-2</v>
      </c>
      <c r="E88" s="4">
        <v>1.385003519761443E-2</v>
      </c>
      <c r="F88" s="4">
        <v>1.385003519761443E-2</v>
      </c>
      <c r="G88" s="4">
        <v>1.385003519761443E-2</v>
      </c>
      <c r="H88" s="4">
        <v>1.385003519761443E-2</v>
      </c>
      <c r="I88" s="4">
        <v>1.385003519761443E-2</v>
      </c>
      <c r="J88" s="4">
        <v>1.385003519761443E-2</v>
      </c>
      <c r="K88" s="4">
        <v>1.385003519761443E-2</v>
      </c>
      <c r="L88" s="4">
        <v>1.385003519761443E-2</v>
      </c>
      <c r="M88" s="4">
        <v>1.385003519761443E-2</v>
      </c>
      <c r="N88" t="s">
        <v>253</v>
      </c>
      <c r="O88" t="s">
        <v>247</v>
      </c>
      <c r="P88" t="s">
        <v>246</v>
      </c>
      <c r="Q88" t="s">
        <v>245</v>
      </c>
    </row>
    <row r="89" spans="1:17" x14ac:dyDescent="0.25">
      <c r="A89" t="s">
        <v>250</v>
      </c>
      <c r="B89" t="s">
        <v>119</v>
      </c>
      <c r="C89" s="4">
        <v>1.6061014541049909E-4</v>
      </c>
      <c r="D89" s="4">
        <v>1.6061014541049909E-4</v>
      </c>
      <c r="E89" s="4">
        <v>1.6061014541049909E-4</v>
      </c>
      <c r="F89" s="4">
        <v>1.6061014541049909E-4</v>
      </c>
      <c r="G89" s="4">
        <v>1.6061014541049909E-4</v>
      </c>
      <c r="H89" s="4">
        <v>1.6061014541049909E-4</v>
      </c>
      <c r="I89" s="4">
        <v>1.6061014541049909E-4</v>
      </c>
      <c r="J89" s="4">
        <v>1.6061014541049909E-4</v>
      </c>
      <c r="K89" s="4">
        <v>1.6061014541049909E-4</v>
      </c>
      <c r="L89" s="4">
        <v>1.6061014541049909E-4</v>
      </c>
      <c r="M89" s="4">
        <v>1.6061014541049909E-4</v>
      </c>
      <c r="N89" t="s">
        <v>258</v>
      </c>
      <c r="O89" t="s">
        <v>249</v>
      </c>
      <c r="P89" t="s">
        <v>250</v>
      </c>
      <c r="Q89" t="s">
        <v>245</v>
      </c>
    </row>
    <row r="90" spans="1:17" x14ac:dyDescent="0.25">
      <c r="A90" t="s">
        <v>246</v>
      </c>
      <c r="B90" t="s">
        <v>119</v>
      </c>
      <c r="C90" s="4">
        <v>1.6061014541049909E-4</v>
      </c>
      <c r="D90" s="4">
        <v>1.6061014541049909E-4</v>
      </c>
      <c r="E90" s="4">
        <v>1.6061014541049909E-4</v>
      </c>
      <c r="F90" s="4">
        <v>1.6061014541049909E-4</v>
      </c>
      <c r="G90" s="4">
        <v>1.6061014541049909E-4</v>
      </c>
      <c r="H90" s="4">
        <v>1.6061014541049909E-4</v>
      </c>
      <c r="I90" s="4">
        <v>1.6061014541049909E-4</v>
      </c>
      <c r="J90" s="4">
        <v>1.6061014541049909E-4</v>
      </c>
      <c r="K90" s="4">
        <v>1.6061014541049909E-4</v>
      </c>
      <c r="L90" s="4">
        <v>1.6061014541049909E-4</v>
      </c>
      <c r="M90" s="4">
        <v>1.6061014541049909E-4</v>
      </c>
      <c r="N90" t="s">
        <v>258</v>
      </c>
      <c r="O90" t="s">
        <v>247</v>
      </c>
      <c r="P90" t="s">
        <v>246</v>
      </c>
      <c r="Q90" t="s">
        <v>245</v>
      </c>
    </row>
    <row r="91" spans="1:17" x14ac:dyDescent="0.25">
      <c r="A91" t="s">
        <v>250</v>
      </c>
      <c r="B91" t="s">
        <v>102</v>
      </c>
      <c r="C91" s="4">
        <v>1.0701167967752979E-2</v>
      </c>
      <c r="D91" s="4">
        <v>1.0701167967752979E-2</v>
      </c>
      <c r="E91" s="4">
        <v>1.0701167967752979E-2</v>
      </c>
      <c r="F91" s="4">
        <v>1.0701167967752979E-2</v>
      </c>
      <c r="G91" s="4">
        <v>1.0701167967752979E-2</v>
      </c>
      <c r="H91" s="4">
        <v>1.0701167967752979E-2</v>
      </c>
      <c r="I91" s="4">
        <v>1.0701167967752979E-2</v>
      </c>
      <c r="J91" s="4">
        <v>1.0701167967752979E-2</v>
      </c>
      <c r="K91" s="4">
        <v>1.0701167967752979E-2</v>
      </c>
      <c r="L91" s="4">
        <v>1.0701167967752979E-2</v>
      </c>
      <c r="M91" s="4">
        <v>1.0701167967752979E-2</v>
      </c>
      <c r="N91" t="s">
        <v>258</v>
      </c>
      <c r="O91" t="s">
        <v>249</v>
      </c>
      <c r="P91" t="s">
        <v>250</v>
      </c>
      <c r="Q91" t="s">
        <v>245</v>
      </c>
    </row>
    <row r="92" spans="1:17" x14ac:dyDescent="0.25">
      <c r="A92" t="s">
        <v>246</v>
      </c>
      <c r="B92" t="s">
        <v>102</v>
      </c>
      <c r="C92" s="4">
        <v>1.0701167967752979E-2</v>
      </c>
      <c r="D92" s="4">
        <v>1.0701167967752979E-2</v>
      </c>
      <c r="E92" s="4">
        <v>1.0701167967752979E-2</v>
      </c>
      <c r="F92" s="4">
        <v>1.0701167967752979E-2</v>
      </c>
      <c r="G92" s="4">
        <v>1.0701167967752979E-2</v>
      </c>
      <c r="H92" s="4">
        <v>1.0701167967752979E-2</v>
      </c>
      <c r="I92" s="4">
        <v>1.0701167967752979E-2</v>
      </c>
      <c r="J92" s="4">
        <v>1.0701167967752979E-2</v>
      </c>
      <c r="K92" s="4">
        <v>1.0701167967752979E-2</v>
      </c>
      <c r="L92" s="4">
        <v>1.0701167967752979E-2</v>
      </c>
      <c r="M92" s="4">
        <v>1.0701167967752979E-2</v>
      </c>
      <c r="N92" t="s">
        <v>258</v>
      </c>
      <c r="O92" t="s">
        <v>247</v>
      </c>
      <c r="P92" t="s">
        <v>246</v>
      </c>
      <c r="Q92" t="s">
        <v>245</v>
      </c>
    </row>
    <row r="93" spans="1:17" x14ac:dyDescent="0.25">
      <c r="A93" t="s">
        <v>250</v>
      </c>
      <c r="B93" t="s">
        <v>120</v>
      </c>
      <c r="C93" s="4">
        <v>3.6513758523368301E-3</v>
      </c>
      <c r="D93" s="4">
        <v>3.6513758523368301E-3</v>
      </c>
      <c r="E93" s="4">
        <v>3.6513758523368301E-3</v>
      </c>
      <c r="F93" s="4">
        <v>3.6513758523368301E-3</v>
      </c>
      <c r="G93" s="4">
        <v>3.6513758523368301E-3</v>
      </c>
      <c r="H93" s="4">
        <v>3.6513758523368301E-3</v>
      </c>
      <c r="I93" s="4">
        <v>3.6513758523368301E-3</v>
      </c>
      <c r="J93" s="4">
        <v>3.6513758523368301E-3</v>
      </c>
      <c r="K93" s="4">
        <v>3.6513758523368301E-3</v>
      </c>
      <c r="L93" s="4">
        <v>3.6513758523368301E-3</v>
      </c>
      <c r="M93" s="4">
        <v>3.6513758523368301E-3</v>
      </c>
      <c r="N93" t="s">
        <v>255</v>
      </c>
      <c r="O93" t="s">
        <v>249</v>
      </c>
      <c r="P93" t="s">
        <v>250</v>
      </c>
      <c r="Q93" t="s">
        <v>245</v>
      </c>
    </row>
    <row r="94" spans="1:17" x14ac:dyDescent="0.25">
      <c r="A94" t="s">
        <v>246</v>
      </c>
      <c r="B94" t="s">
        <v>120</v>
      </c>
      <c r="C94" s="4">
        <v>3.6513758523368301E-3</v>
      </c>
      <c r="D94" s="4">
        <v>3.6513758523368301E-3</v>
      </c>
      <c r="E94" s="4">
        <v>3.6513758523368301E-3</v>
      </c>
      <c r="F94" s="4">
        <v>3.6513758523368301E-3</v>
      </c>
      <c r="G94" s="4">
        <v>3.6513758523368301E-3</v>
      </c>
      <c r="H94" s="4">
        <v>3.6513758523368301E-3</v>
      </c>
      <c r="I94" s="4">
        <v>3.6513758523368301E-3</v>
      </c>
      <c r="J94" s="4">
        <v>3.6513758523368301E-3</v>
      </c>
      <c r="K94" s="4">
        <v>3.6513758523368301E-3</v>
      </c>
      <c r="L94" s="4">
        <v>3.6513758523368301E-3</v>
      </c>
      <c r="M94" s="4">
        <v>3.6513758523368301E-3</v>
      </c>
      <c r="N94" t="s">
        <v>255</v>
      </c>
      <c r="O94" t="s">
        <v>247</v>
      </c>
      <c r="P94" t="s">
        <v>246</v>
      </c>
      <c r="Q94" t="s">
        <v>245</v>
      </c>
    </row>
    <row r="95" spans="1:17" x14ac:dyDescent="0.25">
      <c r="A95" t="s">
        <v>250</v>
      </c>
      <c r="B95" t="s">
        <v>107</v>
      </c>
      <c r="C95" s="4">
        <v>2.1435419831538089E-2</v>
      </c>
      <c r="D95" s="4">
        <v>2.1435419831538089E-2</v>
      </c>
      <c r="E95" s="4">
        <v>2.1435419831538089E-2</v>
      </c>
      <c r="F95" s="4">
        <v>2.1435419831538089E-2</v>
      </c>
      <c r="G95" s="4">
        <v>2.1435419831538089E-2</v>
      </c>
      <c r="H95" s="4">
        <v>2.1435419831538089E-2</v>
      </c>
      <c r="I95" s="4">
        <v>2.1435419831538089E-2</v>
      </c>
      <c r="J95" s="4">
        <v>2.1435419831538089E-2</v>
      </c>
      <c r="K95" s="4">
        <v>2.1435419831538089E-2</v>
      </c>
      <c r="L95" s="4">
        <v>2.1435419831538089E-2</v>
      </c>
      <c r="M95" s="4">
        <v>2.1435419831538089E-2</v>
      </c>
      <c r="N95" t="s">
        <v>251</v>
      </c>
      <c r="O95" t="s">
        <v>249</v>
      </c>
      <c r="P95" t="s">
        <v>250</v>
      </c>
      <c r="Q95" t="s">
        <v>245</v>
      </c>
    </row>
    <row r="96" spans="1:17" x14ac:dyDescent="0.25">
      <c r="A96" t="s">
        <v>246</v>
      </c>
      <c r="B96" t="s">
        <v>107</v>
      </c>
      <c r="C96" s="4">
        <v>2.1435419831538089E-2</v>
      </c>
      <c r="D96" s="4">
        <v>2.1435419831538089E-2</v>
      </c>
      <c r="E96" s="4">
        <v>2.1435419831538089E-2</v>
      </c>
      <c r="F96" s="4">
        <v>2.1435419831538089E-2</v>
      </c>
      <c r="G96" s="4">
        <v>2.1435419831538089E-2</v>
      </c>
      <c r="H96" s="4">
        <v>2.1435419831538089E-2</v>
      </c>
      <c r="I96" s="4">
        <v>2.1435419831538089E-2</v>
      </c>
      <c r="J96" s="4">
        <v>2.1435419831538089E-2</v>
      </c>
      <c r="K96" s="4">
        <v>2.1435419831538089E-2</v>
      </c>
      <c r="L96" s="4">
        <v>2.1435419831538089E-2</v>
      </c>
      <c r="M96" s="4">
        <v>2.1435419831538089E-2</v>
      </c>
      <c r="N96" t="s">
        <v>251</v>
      </c>
      <c r="O96" t="s">
        <v>247</v>
      </c>
      <c r="P96" t="s">
        <v>246</v>
      </c>
      <c r="Q96" t="s">
        <v>245</v>
      </c>
    </row>
    <row r="97" spans="1:17" x14ac:dyDescent="0.25">
      <c r="A97" t="s">
        <v>250</v>
      </c>
      <c r="B97" t="s">
        <v>108</v>
      </c>
      <c r="C97" s="4">
        <v>1.309740811428285E-2</v>
      </c>
      <c r="D97" s="4">
        <v>1.309740811428285E-2</v>
      </c>
      <c r="E97" s="4">
        <v>1.309740811428285E-2</v>
      </c>
      <c r="F97" s="4">
        <v>1.309740811428285E-2</v>
      </c>
      <c r="G97" s="4">
        <v>1.309740811428285E-2</v>
      </c>
      <c r="H97" s="4">
        <v>1.309740811428285E-2</v>
      </c>
      <c r="I97" s="4">
        <v>1.309740811428285E-2</v>
      </c>
      <c r="J97" s="4">
        <v>1.309740811428285E-2</v>
      </c>
      <c r="K97" s="4">
        <v>1.309740811428285E-2</v>
      </c>
      <c r="L97" s="4">
        <v>1.309740811428285E-2</v>
      </c>
      <c r="M97" s="4">
        <v>1.309740811428285E-2</v>
      </c>
      <c r="N97" t="s">
        <v>258</v>
      </c>
      <c r="O97" t="s">
        <v>249</v>
      </c>
      <c r="P97" t="s">
        <v>250</v>
      </c>
      <c r="Q97" t="s">
        <v>245</v>
      </c>
    </row>
    <row r="98" spans="1:17" x14ac:dyDescent="0.25">
      <c r="A98" t="s">
        <v>246</v>
      </c>
      <c r="B98" t="s">
        <v>108</v>
      </c>
      <c r="C98" s="4">
        <v>1.309740811428285E-2</v>
      </c>
      <c r="D98" s="4">
        <v>1.309740811428285E-2</v>
      </c>
      <c r="E98" s="4">
        <v>1.309740811428285E-2</v>
      </c>
      <c r="F98" s="4">
        <v>1.309740811428285E-2</v>
      </c>
      <c r="G98" s="4">
        <v>1.309740811428285E-2</v>
      </c>
      <c r="H98" s="4">
        <v>1.309740811428285E-2</v>
      </c>
      <c r="I98" s="4">
        <v>1.309740811428285E-2</v>
      </c>
      <c r="J98" s="4">
        <v>1.309740811428285E-2</v>
      </c>
      <c r="K98" s="4">
        <v>1.309740811428285E-2</v>
      </c>
      <c r="L98" s="4">
        <v>1.309740811428285E-2</v>
      </c>
      <c r="M98" s="4">
        <v>1.309740811428285E-2</v>
      </c>
      <c r="N98" t="s">
        <v>258</v>
      </c>
      <c r="O98" t="s">
        <v>247</v>
      </c>
      <c r="P98" t="s">
        <v>246</v>
      </c>
      <c r="Q98" t="s">
        <v>245</v>
      </c>
    </row>
    <row r="99" spans="1:17" x14ac:dyDescent="0.25">
      <c r="A99" t="s">
        <v>250</v>
      </c>
      <c r="B99" t="s">
        <v>121</v>
      </c>
      <c r="C99" s="4">
        <v>1.1810740540808931E-2</v>
      </c>
      <c r="D99" s="4">
        <v>1.1810740540808931E-2</v>
      </c>
      <c r="E99" s="4">
        <v>1.1810740540808931E-2</v>
      </c>
      <c r="F99" s="4">
        <v>1.1810740540808931E-2</v>
      </c>
      <c r="G99" s="4">
        <v>1.1810740540808931E-2</v>
      </c>
      <c r="H99" s="4">
        <v>1.1810740540808931E-2</v>
      </c>
      <c r="I99" s="4">
        <v>1.1810740540808931E-2</v>
      </c>
      <c r="J99" s="4">
        <v>1.1810740540808931E-2</v>
      </c>
      <c r="K99" s="4">
        <v>1.1810740540808931E-2</v>
      </c>
      <c r="L99" s="4">
        <v>1.1810740540808931E-2</v>
      </c>
      <c r="M99" s="4">
        <v>1.1810740540808931E-2</v>
      </c>
      <c r="N99" t="s">
        <v>255</v>
      </c>
      <c r="O99" t="s">
        <v>249</v>
      </c>
      <c r="P99" t="s">
        <v>250</v>
      </c>
      <c r="Q99" t="s">
        <v>245</v>
      </c>
    </row>
    <row r="100" spans="1:17" x14ac:dyDescent="0.25">
      <c r="A100" t="s">
        <v>246</v>
      </c>
      <c r="B100" t="s">
        <v>121</v>
      </c>
      <c r="C100" s="4">
        <v>1.1810740540808931E-2</v>
      </c>
      <c r="D100" s="4">
        <v>1.1810740540808931E-2</v>
      </c>
      <c r="E100" s="4">
        <v>1.1810740540808931E-2</v>
      </c>
      <c r="F100" s="4">
        <v>1.1810740540808931E-2</v>
      </c>
      <c r="G100" s="4">
        <v>1.1810740540808931E-2</v>
      </c>
      <c r="H100" s="4">
        <v>1.1810740540808931E-2</v>
      </c>
      <c r="I100" s="4">
        <v>1.1810740540808931E-2</v>
      </c>
      <c r="J100" s="4">
        <v>1.1810740540808931E-2</v>
      </c>
      <c r="K100" s="4">
        <v>1.1810740540808931E-2</v>
      </c>
      <c r="L100" s="4">
        <v>1.1810740540808931E-2</v>
      </c>
      <c r="M100" s="4">
        <v>1.1810740540808931E-2</v>
      </c>
      <c r="N100" t="s">
        <v>255</v>
      </c>
      <c r="O100" t="s">
        <v>247</v>
      </c>
      <c r="P100" t="s">
        <v>246</v>
      </c>
      <c r="Q100" t="s">
        <v>245</v>
      </c>
    </row>
    <row r="101" spans="1:17" x14ac:dyDescent="0.25">
      <c r="A101" t="s">
        <v>250</v>
      </c>
      <c r="B101" t="s">
        <v>112</v>
      </c>
      <c r="C101" s="4">
        <v>1.9531818729234961E-3</v>
      </c>
      <c r="D101" s="4">
        <v>1.9531818729234961E-3</v>
      </c>
      <c r="E101" s="4">
        <v>1.9531818729234961E-3</v>
      </c>
      <c r="F101" s="4">
        <v>1.9531818729234961E-3</v>
      </c>
      <c r="G101" s="4">
        <v>1.9531818729234961E-3</v>
      </c>
      <c r="H101" s="4">
        <v>1.9531818729234961E-3</v>
      </c>
      <c r="I101" s="4">
        <v>1.9531818729234961E-3</v>
      </c>
      <c r="J101" s="4">
        <v>1.9531818729234961E-3</v>
      </c>
      <c r="K101" s="4">
        <v>1.9531818729234961E-3</v>
      </c>
      <c r="L101" s="4">
        <v>1.9531818729234961E-3</v>
      </c>
      <c r="M101" s="4">
        <v>1.9531818729234961E-3</v>
      </c>
      <c r="N101" t="s">
        <v>258</v>
      </c>
      <c r="O101" t="s">
        <v>249</v>
      </c>
      <c r="P101" t="s">
        <v>250</v>
      </c>
      <c r="Q101" t="s">
        <v>245</v>
      </c>
    </row>
    <row r="102" spans="1:17" x14ac:dyDescent="0.25">
      <c r="A102" t="s">
        <v>246</v>
      </c>
      <c r="B102" t="s">
        <v>112</v>
      </c>
      <c r="C102" s="4">
        <v>1.9531818729234961E-3</v>
      </c>
      <c r="D102" s="4">
        <v>1.9531818729234961E-3</v>
      </c>
      <c r="E102" s="4">
        <v>1.9531818729234961E-3</v>
      </c>
      <c r="F102" s="4">
        <v>1.9531818729234961E-3</v>
      </c>
      <c r="G102" s="4">
        <v>1.9531818729234961E-3</v>
      </c>
      <c r="H102" s="4">
        <v>1.9531818729234961E-3</v>
      </c>
      <c r="I102" s="4">
        <v>1.9531818729234961E-3</v>
      </c>
      <c r="J102" s="4">
        <v>1.9531818729234961E-3</v>
      </c>
      <c r="K102" s="4">
        <v>1.9531818729234961E-3</v>
      </c>
      <c r="L102" s="4">
        <v>1.9531818729234961E-3</v>
      </c>
      <c r="M102" s="4">
        <v>1.9531818729234961E-3</v>
      </c>
      <c r="N102" t="s">
        <v>258</v>
      </c>
      <c r="O102" t="s">
        <v>247</v>
      </c>
      <c r="P102" t="s">
        <v>246</v>
      </c>
      <c r="Q102" t="s">
        <v>245</v>
      </c>
    </row>
    <row r="103" spans="1:17" x14ac:dyDescent="0.25">
      <c r="A103" t="s">
        <v>250</v>
      </c>
      <c r="B103" t="s">
        <v>113</v>
      </c>
      <c r="C103" s="4">
        <v>1.014152126325661E-2</v>
      </c>
      <c r="D103" s="4">
        <v>1.014152126325661E-2</v>
      </c>
      <c r="E103" s="4">
        <v>1.014152126325661E-2</v>
      </c>
      <c r="F103" s="4">
        <v>1.014152126325661E-2</v>
      </c>
      <c r="G103" s="4">
        <v>1.014152126325661E-2</v>
      </c>
      <c r="H103" s="4">
        <v>1.014152126325661E-2</v>
      </c>
      <c r="I103" s="4">
        <v>1.014152126325661E-2</v>
      </c>
      <c r="J103" s="4">
        <v>1.014152126325661E-2</v>
      </c>
      <c r="K103" s="4">
        <v>1.014152126325661E-2</v>
      </c>
      <c r="L103" s="4">
        <v>1.014152126325661E-2</v>
      </c>
      <c r="M103" s="4">
        <v>1.014152126325661E-2</v>
      </c>
      <c r="N103" t="s">
        <v>253</v>
      </c>
      <c r="O103" t="s">
        <v>249</v>
      </c>
      <c r="P103" t="s">
        <v>250</v>
      </c>
      <c r="Q103" t="s">
        <v>245</v>
      </c>
    </row>
    <row r="104" spans="1:17" x14ac:dyDescent="0.25">
      <c r="A104" t="s">
        <v>246</v>
      </c>
      <c r="B104" t="s">
        <v>113</v>
      </c>
      <c r="C104" s="4">
        <v>1.014152126325661E-2</v>
      </c>
      <c r="D104" s="4">
        <v>1.014152126325661E-2</v>
      </c>
      <c r="E104" s="4">
        <v>1.014152126325661E-2</v>
      </c>
      <c r="F104" s="4">
        <v>1.014152126325661E-2</v>
      </c>
      <c r="G104" s="4">
        <v>1.014152126325661E-2</v>
      </c>
      <c r="H104" s="4">
        <v>1.014152126325661E-2</v>
      </c>
      <c r="I104" s="4">
        <v>1.014152126325661E-2</v>
      </c>
      <c r="J104" s="4">
        <v>1.014152126325661E-2</v>
      </c>
      <c r="K104" s="4">
        <v>1.014152126325661E-2</v>
      </c>
      <c r="L104" s="4">
        <v>1.014152126325661E-2</v>
      </c>
      <c r="M104" s="4">
        <v>1.014152126325661E-2</v>
      </c>
      <c r="N104" t="s">
        <v>253</v>
      </c>
      <c r="O104" t="s">
        <v>247</v>
      </c>
      <c r="P104" t="s">
        <v>246</v>
      </c>
      <c r="Q104" t="s">
        <v>245</v>
      </c>
    </row>
    <row r="105" spans="1:17" x14ac:dyDescent="0.25">
      <c r="A105" t="s">
        <v>250</v>
      </c>
      <c r="B105" t="s">
        <v>122</v>
      </c>
      <c r="C105" s="4">
        <v>1.2930063998753551E-2</v>
      </c>
      <c r="D105" s="4">
        <v>1.2930063998753551E-2</v>
      </c>
      <c r="E105" s="4">
        <v>1.2930063998753551E-2</v>
      </c>
      <c r="F105" s="4">
        <v>1.2930063998753551E-2</v>
      </c>
      <c r="G105" s="4">
        <v>1.2930063998753551E-2</v>
      </c>
      <c r="H105" s="4">
        <v>1.2930063998753551E-2</v>
      </c>
      <c r="I105" s="4">
        <v>1.2930063998753551E-2</v>
      </c>
      <c r="J105" s="4">
        <v>1.2930063998753551E-2</v>
      </c>
      <c r="K105" s="4">
        <v>1.2930063998753551E-2</v>
      </c>
      <c r="L105" s="4">
        <v>1.2930063998753551E-2</v>
      </c>
      <c r="M105" s="4">
        <v>1.2930063998753551E-2</v>
      </c>
      <c r="N105" t="s">
        <v>251</v>
      </c>
      <c r="O105" t="s">
        <v>249</v>
      </c>
      <c r="P105" t="s">
        <v>250</v>
      </c>
      <c r="Q105" t="s">
        <v>245</v>
      </c>
    </row>
    <row r="106" spans="1:17" x14ac:dyDescent="0.25">
      <c r="A106" t="s">
        <v>246</v>
      </c>
      <c r="B106" t="s">
        <v>122</v>
      </c>
      <c r="C106" s="4">
        <v>1.2930063998753551E-2</v>
      </c>
      <c r="D106" s="4">
        <v>1.2930063998753551E-2</v>
      </c>
      <c r="E106" s="4">
        <v>1.2930063998753551E-2</v>
      </c>
      <c r="F106" s="4">
        <v>1.2930063998753551E-2</v>
      </c>
      <c r="G106" s="4">
        <v>1.2930063998753551E-2</v>
      </c>
      <c r="H106" s="4">
        <v>1.2930063998753551E-2</v>
      </c>
      <c r="I106" s="4">
        <v>1.2930063998753551E-2</v>
      </c>
      <c r="J106" s="4">
        <v>1.2930063998753551E-2</v>
      </c>
      <c r="K106" s="4">
        <v>1.2930063998753551E-2</v>
      </c>
      <c r="L106" s="4">
        <v>1.2930063998753551E-2</v>
      </c>
      <c r="M106" s="4">
        <v>1.2930063998753551E-2</v>
      </c>
      <c r="N106" t="s">
        <v>251</v>
      </c>
      <c r="O106" t="s">
        <v>247</v>
      </c>
      <c r="P106" t="s">
        <v>246</v>
      </c>
      <c r="Q106" t="s">
        <v>245</v>
      </c>
    </row>
    <row r="107" spans="1:17" x14ac:dyDescent="0.25">
      <c r="A107" t="s">
        <v>250</v>
      </c>
      <c r="B107" t="s">
        <v>123</v>
      </c>
      <c r="C107" s="4">
        <v>7.9930212030407694E-3</v>
      </c>
      <c r="D107" s="4">
        <v>7.9930212030407694E-3</v>
      </c>
      <c r="E107" s="4">
        <v>7.9930212030407694E-3</v>
      </c>
      <c r="F107" s="4">
        <v>7.9930212030407694E-3</v>
      </c>
      <c r="G107" s="4">
        <v>7.9930212030407694E-3</v>
      </c>
      <c r="H107" s="4">
        <v>7.9930212030407694E-3</v>
      </c>
      <c r="I107" s="4">
        <v>7.9930212030407694E-3</v>
      </c>
      <c r="J107" s="4">
        <v>7.9930212030407694E-3</v>
      </c>
      <c r="K107" s="4">
        <v>7.9930212030407694E-3</v>
      </c>
      <c r="L107" s="4">
        <v>7.9930212030407694E-3</v>
      </c>
      <c r="M107" s="4">
        <v>7.9930212030407694E-3</v>
      </c>
      <c r="N107" t="s">
        <v>258</v>
      </c>
      <c r="O107" t="s">
        <v>249</v>
      </c>
      <c r="P107" t="s">
        <v>250</v>
      </c>
      <c r="Q107" t="s">
        <v>245</v>
      </c>
    </row>
    <row r="108" spans="1:17" x14ac:dyDescent="0.25">
      <c r="A108" t="s">
        <v>246</v>
      </c>
      <c r="B108" t="s">
        <v>123</v>
      </c>
      <c r="C108" s="4">
        <v>7.9930212030407694E-3</v>
      </c>
      <c r="D108" s="4">
        <v>7.9930212030407694E-3</v>
      </c>
      <c r="E108" s="4">
        <v>7.9930212030407694E-3</v>
      </c>
      <c r="F108" s="4">
        <v>7.9930212030407694E-3</v>
      </c>
      <c r="G108" s="4">
        <v>7.9930212030407694E-3</v>
      </c>
      <c r="H108" s="4">
        <v>7.9930212030407694E-3</v>
      </c>
      <c r="I108" s="4">
        <v>7.9930212030407694E-3</v>
      </c>
      <c r="J108" s="4">
        <v>7.9930212030407694E-3</v>
      </c>
      <c r="K108" s="4">
        <v>7.9930212030407694E-3</v>
      </c>
      <c r="L108" s="4">
        <v>7.9930212030407694E-3</v>
      </c>
      <c r="M108" s="4">
        <v>7.9930212030407694E-3</v>
      </c>
      <c r="N108" t="s">
        <v>258</v>
      </c>
      <c r="O108" t="s">
        <v>247</v>
      </c>
      <c r="P108" t="s">
        <v>246</v>
      </c>
      <c r="Q108" t="s">
        <v>245</v>
      </c>
    </row>
    <row r="109" spans="1:17" x14ac:dyDescent="0.25">
      <c r="A109" t="s">
        <v>250</v>
      </c>
      <c r="B109" t="s">
        <v>114</v>
      </c>
      <c r="C109" s="4">
        <v>3.1851889004598548E-4</v>
      </c>
      <c r="D109" s="4">
        <v>3.1851889004598548E-4</v>
      </c>
      <c r="E109" s="4">
        <v>3.1851889004598548E-4</v>
      </c>
      <c r="F109" s="4">
        <v>3.1851889004598548E-4</v>
      </c>
      <c r="G109" s="4">
        <v>3.1851889004598548E-4</v>
      </c>
      <c r="H109" s="4">
        <v>3.1851889004598548E-4</v>
      </c>
      <c r="I109" s="4">
        <v>3.1851889004598548E-4</v>
      </c>
      <c r="J109" s="4">
        <v>3.1851889004598548E-4</v>
      </c>
      <c r="K109" s="4">
        <v>3.1851889004598548E-4</v>
      </c>
      <c r="L109" s="4">
        <v>3.1851889004598548E-4</v>
      </c>
      <c r="M109" s="4">
        <v>3.1851889004598548E-4</v>
      </c>
      <c r="N109" t="s">
        <v>252</v>
      </c>
      <c r="O109" t="s">
        <v>249</v>
      </c>
      <c r="P109" t="s">
        <v>250</v>
      </c>
      <c r="Q109" t="s">
        <v>245</v>
      </c>
    </row>
    <row r="110" spans="1:17" x14ac:dyDescent="0.25">
      <c r="A110" t="s">
        <v>246</v>
      </c>
      <c r="B110" t="s">
        <v>114</v>
      </c>
      <c r="C110" s="4">
        <v>3.1851889004598548E-4</v>
      </c>
      <c r="D110" s="4">
        <v>3.1851889004598548E-4</v>
      </c>
      <c r="E110" s="4">
        <v>3.1851889004598548E-4</v>
      </c>
      <c r="F110" s="4">
        <v>3.1851889004598548E-4</v>
      </c>
      <c r="G110" s="4">
        <v>3.1851889004598548E-4</v>
      </c>
      <c r="H110" s="4">
        <v>3.1851889004598548E-4</v>
      </c>
      <c r="I110" s="4">
        <v>3.1851889004598548E-4</v>
      </c>
      <c r="J110" s="4">
        <v>3.1851889004598548E-4</v>
      </c>
      <c r="K110" s="4">
        <v>3.1851889004598548E-4</v>
      </c>
      <c r="L110" s="4">
        <v>3.1851889004598548E-4</v>
      </c>
      <c r="M110" s="4">
        <v>3.1851889004598548E-4</v>
      </c>
      <c r="N110" t="s">
        <v>252</v>
      </c>
      <c r="O110" t="s">
        <v>247</v>
      </c>
      <c r="P110" t="s">
        <v>246</v>
      </c>
      <c r="Q110" t="s">
        <v>245</v>
      </c>
    </row>
    <row r="111" spans="1:17" x14ac:dyDescent="0.25">
      <c r="A111" t="s">
        <v>250</v>
      </c>
      <c r="B111" t="s">
        <v>115</v>
      </c>
      <c r="C111" s="4">
        <v>9.8953812836307959E-3</v>
      </c>
      <c r="D111" s="4">
        <v>9.8953812836307959E-3</v>
      </c>
      <c r="E111" s="4">
        <v>9.8953812836307959E-3</v>
      </c>
      <c r="F111" s="4">
        <v>9.8953812836307959E-3</v>
      </c>
      <c r="G111" s="4">
        <v>9.8953812836307959E-3</v>
      </c>
      <c r="H111" s="4">
        <v>9.8953812836307959E-3</v>
      </c>
      <c r="I111" s="4">
        <v>9.8953812836307959E-3</v>
      </c>
      <c r="J111" s="4">
        <v>9.8953812836307959E-3</v>
      </c>
      <c r="K111" s="4">
        <v>9.8953812836307959E-3</v>
      </c>
      <c r="L111" s="4">
        <v>9.8953812836307959E-3</v>
      </c>
      <c r="M111" s="4">
        <v>9.8953812836307959E-3</v>
      </c>
      <c r="N111" t="s">
        <v>258</v>
      </c>
      <c r="O111" t="s">
        <v>249</v>
      </c>
      <c r="P111" t="s">
        <v>250</v>
      </c>
      <c r="Q111" t="s">
        <v>245</v>
      </c>
    </row>
    <row r="112" spans="1:17" x14ac:dyDescent="0.25">
      <c r="A112" t="s">
        <v>246</v>
      </c>
      <c r="B112" t="s">
        <v>115</v>
      </c>
      <c r="C112" s="4">
        <v>9.8953812836307959E-3</v>
      </c>
      <c r="D112" s="4">
        <v>9.8953812836307959E-3</v>
      </c>
      <c r="E112" s="4">
        <v>9.8953812836307959E-3</v>
      </c>
      <c r="F112" s="4">
        <v>9.8953812836307959E-3</v>
      </c>
      <c r="G112" s="4">
        <v>9.8953812836307959E-3</v>
      </c>
      <c r="H112" s="4">
        <v>9.8953812836307959E-3</v>
      </c>
      <c r="I112" s="4">
        <v>9.8953812836307959E-3</v>
      </c>
      <c r="J112" s="4">
        <v>9.8953812836307959E-3</v>
      </c>
      <c r="K112" s="4">
        <v>9.8953812836307959E-3</v>
      </c>
      <c r="L112" s="4">
        <v>9.8953812836307959E-3</v>
      </c>
      <c r="M112" s="4">
        <v>9.8953812836307959E-3</v>
      </c>
      <c r="N112" t="s">
        <v>258</v>
      </c>
      <c r="O112" t="s">
        <v>247</v>
      </c>
      <c r="P112" t="s">
        <v>246</v>
      </c>
      <c r="Q112" t="s">
        <v>245</v>
      </c>
    </row>
    <row r="113" spans="1:18" x14ac:dyDescent="0.25">
      <c r="A113" t="s">
        <v>265</v>
      </c>
      <c r="B113" t="s">
        <v>124</v>
      </c>
      <c r="C113" s="4">
        <v>6.0809219538082056E-3</v>
      </c>
      <c r="D113" s="4">
        <v>6.0809219538082056E-3</v>
      </c>
      <c r="E113" s="4">
        <v>6.0809219538082056E-3</v>
      </c>
      <c r="F113" s="4">
        <v>6.0809219538082056E-3</v>
      </c>
      <c r="G113" s="4">
        <v>6.0809219538082056E-3</v>
      </c>
      <c r="H113" s="4">
        <v>6.0809219538082056E-3</v>
      </c>
      <c r="I113" s="4">
        <v>6.0809219538082056E-3</v>
      </c>
      <c r="J113" s="4">
        <v>6.0809219538082056E-3</v>
      </c>
      <c r="K113" s="4">
        <v>6.0809219538082056E-3</v>
      </c>
      <c r="L113" s="4">
        <v>6.0809219538082056E-3</v>
      </c>
      <c r="M113" s="4">
        <v>6.0809219538082056E-3</v>
      </c>
      <c r="N113" t="s">
        <v>252</v>
      </c>
      <c r="O113" t="s">
        <v>267</v>
      </c>
      <c r="P113" t="s">
        <v>268</v>
      </c>
      <c r="Q113" t="s">
        <v>245</v>
      </c>
      <c r="R113" t="s">
        <v>266</v>
      </c>
    </row>
    <row r="114" spans="1:18" x14ac:dyDescent="0.25">
      <c r="A114" t="s">
        <v>264</v>
      </c>
      <c r="B114" t="s">
        <v>124</v>
      </c>
      <c r="C114" s="4">
        <v>6.0809219538082056E-3</v>
      </c>
      <c r="D114" s="4">
        <v>6.0809219538082056E-3</v>
      </c>
      <c r="E114" s="4">
        <v>6.0809219538082056E-3</v>
      </c>
      <c r="F114" s="4">
        <v>6.0809219538082056E-3</v>
      </c>
      <c r="G114" s="4">
        <v>6.0809219538082056E-3</v>
      </c>
      <c r="H114" s="4">
        <v>6.0809219538082056E-3</v>
      </c>
      <c r="I114" s="4">
        <v>6.0809219538082056E-3</v>
      </c>
      <c r="J114" s="4">
        <v>6.0809219538082056E-3</v>
      </c>
      <c r="K114" s="4">
        <v>6.0809219538082056E-3</v>
      </c>
      <c r="L114" s="4">
        <v>6.0809219538082056E-3</v>
      </c>
      <c r="M114" s="4">
        <v>6.0809219538082056E-3</v>
      </c>
      <c r="N114" t="s">
        <v>252</v>
      </c>
      <c r="O114" t="s">
        <v>263</v>
      </c>
      <c r="P114" t="s">
        <v>264</v>
      </c>
      <c r="Q114" t="s">
        <v>245</v>
      </c>
      <c r="R114" s="5" t="s">
        <v>262</v>
      </c>
    </row>
    <row r="115" spans="1:18" x14ac:dyDescent="0.25">
      <c r="A115" t="s">
        <v>800</v>
      </c>
      <c r="B115" t="s">
        <v>124</v>
      </c>
      <c r="C115" s="4">
        <v>6.0809219538082056E-3</v>
      </c>
      <c r="D115" s="4">
        <v>6.0809219538082056E-3</v>
      </c>
      <c r="E115" s="4">
        <v>6.0809219538082056E-3</v>
      </c>
      <c r="F115" s="4">
        <v>6.0809219538082056E-3</v>
      </c>
      <c r="G115" s="4">
        <v>6.0809219538082056E-3</v>
      </c>
      <c r="H115" s="4">
        <v>6.0809219538082056E-3</v>
      </c>
      <c r="I115" s="4">
        <v>6.0809219538082056E-3</v>
      </c>
      <c r="J115" s="4">
        <v>6.0809219538082056E-3</v>
      </c>
      <c r="K115" s="4">
        <v>6.0809219538082056E-3</v>
      </c>
      <c r="L115" s="4">
        <v>6.0809219538082056E-3</v>
      </c>
      <c r="M115" s="4">
        <v>6.0809219538082056E-3</v>
      </c>
      <c r="N115" t="s">
        <v>242</v>
      </c>
      <c r="O115" t="s">
        <v>801</v>
      </c>
      <c r="P115" t="s">
        <v>800</v>
      </c>
      <c r="Q115" t="s">
        <v>245</v>
      </c>
      <c r="R115" s="5"/>
    </row>
    <row r="116" spans="1:18" x14ac:dyDescent="0.25">
      <c r="A116" t="s">
        <v>265</v>
      </c>
      <c r="B116" t="s">
        <v>83</v>
      </c>
      <c r="C116" s="4">
        <v>2.4148460023686289E-2</v>
      </c>
      <c r="D116" s="4">
        <v>2.4148460023686289E-2</v>
      </c>
      <c r="E116" s="4">
        <v>2.4148460023686289E-2</v>
      </c>
      <c r="F116" s="4">
        <v>2.4148460023686289E-2</v>
      </c>
      <c r="G116" s="4">
        <v>2.4148460023686289E-2</v>
      </c>
      <c r="H116" s="4">
        <v>2.4148460023686289E-2</v>
      </c>
      <c r="I116" s="4">
        <v>2.4148460023686289E-2</v>
      </c>
      <c r="J116" s="4">
        <v>2.4148460023686289E-2</v>
      </c>
      <c r="K116" s="4">
        <v>2.4148460023686289E-2</v>
      </c>
      <c r="L116" s="4">
        <v>2.4148460023686289E-2</v>
      </c>
      <c r="M116" s="4">
        <v>2.4148460023686289E-2</v>
      </c>
      <c r="N116" t="s">
        <v>248</v>
      </c>
      <c r="O116" t="s">
        <v>267</v>
      </c>
      <c r="P116" t="s">
        <v>268</v>
      </c>
      <c r="Q116" t="s">
        <v>245</v>
      </c>
      <c r="R116" s="5"/>
    </row>
    <row r="117" spans="1:18" x14ac:dyDescent="0.25">
      <c r="A117" t="s">
        <v>264</v>
      </c>
      <c r="B117" t="s">
        <v>83</v>
      </c>
      <c r="C117" s="4">
        <v>2.4148460023686289E-2</v>
      </c>
      <c r="D117" s="4">
        <v>2.4148460023686289E-2</v>
      </c>
      <c r="E117" s="4">
        <v>2.4148460023686289E-2</v>
      </c>
      <c r="F117" s="4">
        <v>2.4148460023686289E-2</v>
      </c>
      <c r="G117" s="4">
        <v>2.4148460023686289E-2</v>
      </c>
      <c r="H117" s="4">
        <v>2.4148460023686289E-2</v>
      </c>
      <c r="I117" s="4">
        <v>2.4148460023686289E-2</v>
      </c>
      <c r="J117" s="4">
        <v>2.4148460023686289E-2</v>
      </c>
      <c r="K117" s="4">
        <v>2.4148460023686289E-2</v>
      </c>
      <c r="L117" s="4">
        <v>2.4148460023686289E-2</v>
      </c>
      <c r="M117" s="4">
        <v>2.4148460023686289E-2</v>
      </c>
      <c r="N117" t="s">
        <v>248</v>
      </c>
      <c r="O117" t="s">
        <v>263</v>
      </c>
      <c r="P117" t="s">
        <v>264</v>
      </c>
      <c r="Q117" t="s">
        <v>245</v>
      </c>
      <c r="R117" t="s">
        <v>591</v>
      </c>
    </row>
    <row r="118" spans="1:18" x14ac:dyDescent="0.25">
      <c r="A118" t="s">
        <v>800</v>
      </c>
      <c r="B118" t="s">
        <v>83</v>
      </c>
      <c r="C118" s="4">
        <v>2.4148460023686289E-2</v>
      </c>
      <c r="D118" s="4">
        <v>2.4148460023686289E-2</v>
      </c>
      <c r="E118" s="4">
        <v>2.4148460023686289E-2</v>
      </c>
      <c r="F118" s="4">
        <v>2.4148460023686289E-2</v>
      </c>
      <c r="G118" s="4">
        <v>2.4148460023686289E-2</v>
      </c>
      <c r="H118" s="4">
        <v>2.4148460023686289E-2</v>
      </c>
      <c r="I118" s="4">
        <v>2.4148460023686289E-2</v>
      </c>
      <c r="J118" s="4">
        <v>2.4148460023686289E-2</v>
      </c>
      <c r="K118" s="4">
        <v>2.4148460023686289E-2</v>
      </c>
      <c r="L118" s="4">
        <v>2.4148460023686289E-2</v>
      </c>
      <c r="M118" s="4">
        <v>2.4148460023686289E-2</v>
      </c>
      <c r="N118" t="s">
        <v>242</v>
      </c>
      <c r="O118" t="s">
        <v>801</v>
      </c>
      <c r="P118" t="s">
        <v>800</v>
      </c>
      <c r="Q118" t="s">
        <v>245</v>
      </c>
    </row>
    <row r="119" spans="1:18" x14ac:dyDescent="0.25">
      <c r="A119" t="s">
        <v>265</v>
      </c>
      <c r="B119" t="s">
        <v>125</v>
      </c>
      <c r="C119" s="4">
        <v>4.9895276369554299E-4</v>
      </c>
      <c r="D119" s="4">
        <v>4.9895276369554299E-4</v>
      </c>
      <c r="E119" s="4">
        <v>4.9895276369554299E-4</v>
      </c>
      <c r="F119" s="4">
        <v>4.9895276369554299E-4</v>
      </c>
      <c r="G119" s="4">
        <v>4.9895276369554299E-4</v>
      </c>
      <c r="H119" s="4">
        <v>4.9895276369554299E-4</v>
      </c>
      <c r="I119" s="4">
        <v>4.9895276369554299E-4</v>
      </c>
      <c r="J119" s="4">
        <v>4.9895276369554299E-4</v>
      </c>
      <c r="K119" s="4">
        <v>4.9895276369554299E-4</v>
      </c>
      <c r="L119" s="4">
        <v>4.9895276369554299E-4</v>
      </c>
      <c r="M119" s="4">
        <v>4.9895276369554299E-4</v>
      </c>
      <c r="N119" t="s">
        <v>258</v>
      </c>
      <c r="O119" t="s">
        <v>267</v>
      </c>
      <c r="P119" t="s">
        <v>268</v>
      </c>
      <c r="Q119" t="s">
        <v>245</v>
      </c>
    </row>
    <row r="120" spans="1:18" x14ac:dyDescent="0.25">
      <c r="A120" t="s">
        <v>264</v>
      </c>
      <c r="B120" t="s">
        <v>125</v>
      </c>
      <c r="C120" s="4">
        <v>4.9895276369554299E-4</v>
      </c>
      <c r="D120" s="4">
        <v>4.9895276369554299E-4</v>
      </c>
      <c r="E120" s="4">
        <v>4.9895276369554299E-4</v>
      </c>
      <c r="F120" s="4">
        <v>4.9895276369554299E-4</v>
      </c>
      <c r="G120" s="4">
        <v>4.9895276369554299E-4</v>
      </c>
      <c r="H120" s="4">
        <v>4.9895276369554299E-4</v>
      </c>
      <c r="I120" s="4">
        <v>4.9895276369554299E-4</v>
      </c>
      <c r="J120" s="4">
        <v>4.9895276369554299E-4</v>
      </c>
      <c r="K120" s="4">
        <v>4.9895276369554299E-4</v>
      </c>
      <c r="L120" s="4">
        <v>4.9895276369554299E-4</v>
      </c>
      <c r="M120" s="4">
        <v>4.9895276369554299E-4</v>
      </c>
      <c r="N120" t="s">
        <v>258</v>
      </c>
      <c r="O120" t="s">
        <v>263</v>
      </c>
      <c r="P120" t="s">
        <v>264</v>
      </c>
      <c r="Q120" t="s">
        <v>245</v>
      </c>
    </row>
    <row r="121" spans="1:18" x14ac:dyDescent="0.25">
      <c r="A121" t="s">
        <v>800</v>
      </c>
      <c r="B121" t="s">
        <v>125</v>
      </c>
      <c r="C121" s="4">
        <v>4.9895276369554299E-4</v>
      </c>
      <c r="D121" s="4">
        <v>4.9895276369554299E-4</v>
      </c>
      <c r="E121" s="4">
        <v>4.9895276369554299E-4</v>
      </c>
      <c r="F121" s="4">
        <v>4.9895276369554299E-4</v>
      </c>
      <c r="G121" s="4">
        <v>4.9895276369554299E-4</v>
      </c>
      <c r="H121" s="4">
        <v>4.9895276369554299E-4</v>
      </c>
      <c r="I121" s="4">
        <v>4.9895276369554299E-4</v>
      </c>
      <c r="J121" s="4">
        <v>4.9895276369554299E-4</v>
      </c>
      <c r="K121" s="4">
        <v>4.9895276369554299E-4</v>
      </c>
      <c r="L121" s="4">
        <v>4.9895276369554299E-4</v>
      </c>
      <c r="M121" s="4">
        <v>4.9895276369554299E-4</v>
      </c>
      <c r="N121" t="s">
        <v>242</v>
      </c>
      <c r="O121" t="s">
        <v>801</v>
      </c>
      <c r="P121" t="s">
        <v>800</v>
      </c>
      <c r="Q121" t="s">
        <v>245</v>
      </c>
    </row>
    <row r="122" spans="1:18" x14ac:dyDescent="0.25">
      <c r="A122" t="s">
        <v>265</v>
      </c>
      <c r="B122" t="s">
        <v>126</v>
      </c>
      <c r="C122" s="4">
        <v>2.0089414887772831E-2</v>
      </c>
      <c r="D122" s="4">
        <v>2.0089414887772831E-2</v>
      </c>
      <c r="E122" s="4">
        <v>2.0089414887772831E-2</v>
      </c>
      <c r="F122" s="4">
        <v>2.0089414887772831E-2</v>
      </c>
      <c r="G122" s="4">
        <v>2.0089414887772831E-2</v>
      </c>
      <c r="H122" s="4">
        <v>2.0089414887772831E-2</v>
      </c>
      <c r="I122" s="4">
        <v>2.0089414887772831E-2</v>
      </c>
      <c r="J122" s="4">
        <v>2.0089414887772831E-2</v>
      </c>
      <c r="K122" s="4">
        <v>2.0089414887772831E-2</v>
      </c>
      <c r="L122" s="4">
        <v>2.0089414887772831E-2</v>
      </c>
      <c r="M122" s="4">
        <v>2.0089414887772831E-2</v>
      </c>
      <c r="N122" t="s">
        <v>269</v>
      </c>
      <c r="O122" t="s">
        <v>267</v>
      </c>
      <c r="P122" t="s">
        <v>268</v>
      </c>
      <c r="Q122" t="s">
        <v>245</v>
      </c>
    </row>
    <row r="123" spans="1:18" x14ac:dyDescent="0.25">
      <c r="A123" t="s">
        <v>264</v>
      </c>
      <c r="B123" t="s">
        <v>126</v>
      </c>
      <c r="C123" s="4">
        <v>2.0089414887772831E-2</v>
      </c>
      <c r="D123" s="4">
        <v>2.0089414887772831E-2</v>
      </c>
      <c r="E123" s="4">
        <v>2.0089414887772831E-2</v>
      </c>
      <c r="F123" s="4">
        <v>2.0089414887772831E-2</v>
      </c>
      <c r="G123" s="4">
        <v>2.0089414887772831E-2</v>
      </c>
      <c r="H123" s="4">
        <v>2.0089414887772831E-2</v>
      </c>
      <c r="I123" s="4">
        <v>2.0089414887772831E-2</v>
      </c>
      <c r="J123" s="4">
        <v>2.0089414887772831E-2</v>
      </c>
      <c r="K123" s="4">
        <v>2.0089414887772831E-2</v>
      </c>
      <c r="L123" s="4">
        <v>2.0089414887772831E-2</v>
      </c>
      <c r="M123" s="4">
        <v>2.0089414887772831E-2</v>
      </c>
      <c r="N123" t="s">
        <v>269</v>
      </c>
      <c r="O123" t="s">
        <v>263</v>
      </c>
      <c r="P123" t="s">
        <v>264</v>
      </c>
      <c r="Q123" t="s">
        <v>245</v>
      </c>
    </row>
    <row r="124" spans="1:18" x14ac:dyDescent="0.25">
      <c r="A124" t="s">
        <v>800</v>
      </c>
      <c r="B124" t="s">
        <v>126</v>
      </c>
      <c r="C124" s="4">
        <v>2.0089414887772831E-2</v>
      </c>
      <c r="D124" s="4">
        <v>2.0089414887772831E-2</v>
      </c>
      <c r="E124" s="4">
        <v>2.0089414887772831E-2</v>
      </c>
      <c r="F124" s="4">
        <v>2.0089414887772831E-2</v>
      </c>
      <c r="G124" s="4">
        <v>2.0089414887772831E-2</v>
      </c>
      <c r="H124" s="4">
        <v>2.0089414887772831E-2</v>
      </c>
      <c r="I124" s="4">
        <v>2.0089414887772831E-2</v>
      </c>
      <c r="J124" s="4">
        <v>2.0089414887772831E-2</v>
      </c>
      <c r="K124" s="4">
        <v>2.0089414887772831E-2</v>
      </c>
      <c r="L124" s="4">
        <v>2.0089414887772831E-2</v>
      </c>
      <c r="M124" s="4">
        <v>2.0089414887772831E-2</v>
      </c>
      <c r="N124" t="s">
        <v>242</v>
      </c>
      <c r="O124" t="s">
        <v>801</v>
      </c>
      <c r="P124" t="s">
        <v>800</v>
      </c>
      <c r="Q124" t="s">
        <v>245</v>
      </c>
    </row>
    <row r="125" spans="1:18" x14ac:dyDescent="0.25">
      <c r="A125" t="s">
        <v>265</v>
      </c>
      <c r="B125" t="s">
        <v>84</v>
      </c>
      <c r="C125" s="4">
        <v>1.177262210377023E-3</v>
      </c>
      <c r="D125" s="4">
        <v>1.177262210377023E-3</v>
      </c>
      <c r="E125" s="4">
        <v>1.177262210377023E-3</v>
      </c>
      <c r="F125" s="4">
        <v>1.177262210377023E-3</v>
      </c>
      <c r="G125" s="4">
        <v>1.177262210377023E-3</v>
      </c>
      <c r="H125" s="4">
        <v>1.177262210377023E-3</v>
      </c>
      <c r="I125" s="4">
        <v>1.177262210377023E-3</v>
      </c>
      <c r="J125" s="4">
        <v>1.177262210377023E-3</v>
      </c>
      <c r="K125" s="4">
        <v>1.177262210377023E-3</v>
      </c>
      <c r="L125" s="4">
        <v>1.177262210377023E-3</v>
      </c>
      <c r="M125" s="4">
        <v>1.177262210377023E-3</v>
      </c>
      <c r="N125" t="s">
        <v>251</v>
      </c>
      <c r="O125" t="s">
        <v>267</v>
      </c>
      <c r="P125" t="s">
        <v>268</v>
      </c>
      <c r="Q125" t="s">
        <v>245</v>
      </c>
    </row>
    <row r="126" spans="1:18" x14ac:dyDescent="0.25">
      <c r="A126" t="s">
        <v>264</v>
      </c>
      <c r="B126" t="s">
        <v>84</v>
      </c>
      <c r="C126" s="4">
        <v>1.177262210377023E-3</v>
      </c>
      <c r="D126" s="4">
        <v>1.177262210377023E-3</v>
      </c>
      <c r="E126" s="4">
        <v>1.177262210377023E-3</v>
      </c>
      <c r="F126" s="4">
        <v>1.177262210377023E-3</v>
      </c>
      <c r="G126" s="4">
        <v>1.177262210377023E-3</v>
      </c>
      <c r="H126" s="4">
        <v>1.177262210377023E-3</v>
      </c>
      <c r="I126" s="4">
        <v>1.177262210377023E-3</v>
      </c>
      <c r="J126" s="4">
        <v>1.177262210377023E-3</v>
      </c>
      <c r="K126" s="4">
        <v>1.177262210377023E-3</v>
      </c>
      <c r="L126" s="4">
        <v>1.177262210377023E-3</v>
      </c>
      <c r="M126" s="4">
        <v>1.177262210377023E-3</v>
      </c>
      <c r="N126" t="s">
        <v>251</v>
      </c>
      <c r="O126" t="s">
        <v>263</v>
      </c>
      <c r="P126" t="s">
        <v>264</v>
      </c>
      <c r="Q126" t="s">
        <v>245</v>
      </c>
    </row>
    <row r="127" spans="1:18" x14ac:dyDescent="0.25">
      <c r="A127" t="s">
        <v>800</v>
      </c>
      <c r="B127" t="s">
        <v>84</v>
      </c>
      <c r="C127" s="4">
        <v>1.177262210377023E-3</v>
      </c>
      <c r="D127" s="4">
        <v>1.177262210377023E-3</v>
      </c>
      <c r="E127" s="4">
        <v>1.177262210377023E-3</v>
      </c>
      <c r="F127" s="4">
        <v>1.177262210377023E-3</v>
      </c>
      <c r="G127" s="4">
        <v>1.177262210377023E-3</v>
      </c>
      <c r="H127" s="4">
        <v>1.177262210377023E-3</v>
      </c>
      <c r="I127" s="4">
        <v>1.177262210377023E-3</v>
      </c>
      <c r="J127" s="4">
        <v>1.177262210377023E-3</v>
      </c>
      <c r="K127" s="4">
        <v>1.177262210377023E-3</v>
      </c>
      <c r="L127" s="4">
        <v>1.177262210377023E-3</v>
      </c>
      <c r="M127" s="4">
        <v>1.177262210377023E-3</v>
      </c>
      <c r="N127" t="s">
        <v>242</v>
      </c>
      <c r="O127" t="s">
        <v>801</v>
      </c>
      <c r="P127" t="s">
        <v>800</v>
      </c>
      <c r="Q127" t="s">
        <v>245</v>
      </c>
    </row>
    <row r="128" spans="1:18" x14ac:dyDescent="0.25">
      <c r="A128" t="s">
        <v>265</v>
      </c>
      <c r="B128" t="s">
        <v>85</v>
      </c>
      <c r="C128" s="4">
        <v>1.108400751570086E-2</v>
      </c>
      <c r="D128" s="4">
        <v>1.108400751570086E-2</v>
      </c>
      <c r="E128" s="4">
        <v>1.108400751570086E-2</v>
      </c>
      <c r="F128" s="4">
        <v>1.108400751570086E-2</v>
      </c>
      <c r="G128" s="4">
        <v>1.108400751570086E-2</v>
      </c>
      <c r="H128" s="4">
        <v>1.108400751570086E-2</v>
      </c>
      <c r="I128" s="4">
        <v>1.108400751570086E-2</v>
      </c>
      <c r="J128" s="4">
        <v>1.108400751570086E-2</v>
      </c>
      <c r="K128" s="4">
        <v>1.108400751570086E-2</v>
      </c>
      <c r="L128" s="4">
        <v>1.108400751570086E-2</v>
      </c>
      <c r="M128" s="4">
        <v>1.108400751570086E-2</v>
      </c>
      <c r="N128" t="s">
        <v>252</v>
      </c>
      <c r="O128" t="s">
        <v>267</v>
      </c>
      <c r="P128" t="s">
        <v>268</v>
      </c>
      <c r="Q128" t="s">
        <v>245</v>
      </c>
    </row>
    <row r="129" spans="1:17" x14ac:dyDescent="0.25">
      <c r="A129" t="s">
        <v>264</v>
      </c>
      <c r="B129" t="s">
        <v>85</v>
      </c>
      <c r="C129" s="4">
        <v>1.108400751570086E-2</v>
      </c>
      <c r="D129" s="4">
        <v>1.108400751570086E-2</v>
      </c>
      <c r="E129" s="4">
        <v>1.108400751570086E-2</v>
      </c>
      <c r="F129" s="4">
        <v>1.108400751570086E-2</v>
      </c>
      <c r="G129" s="4">
        <v>1.108400751570086E-2</v>
      </c>
      <c r="H129" s="4">
        <v>1.108400751570086E-2</v>
      </c>
      <c r="I129" s="4">
        <v>1.108400751570086E-2</v>
      </c>
      <c r="J129" s="4">
        <v>1.108400751570086E-2</v>
      </c>
      <c r="K129" s="4">
        <v>1.108400751570086E-2</v>
      </c>
      <c r="L129" s="4">
        <v>1.108400751570086E-2</v>
      </c>
      <c r="M129" s="4">
        <v>1.108400751570086E-2</v>
      </c>
      <c r="N129" t="s">
        <v>252</v>
      </c>
      <c r="O129" t="s">
        <v>263</v>
      </c>
      <c r="P129" t="s">
        <v>264</v>
      </c>
      <c r="Q129" t="s">
        <v>245</v>
      </c>
    </row>
    <row r="130" spans="1:17" x14ac:dyDescent="0.25">
      <c r="A130" t="s">
        <v>800</v>
      </c>
      <c r="B130" t="s">
        <v>85</v>
      </c>
      <c r="C130" s="4">
        <v>1.108400751570086E-2</v>
      </c>
      <c r="D130" s="4">
        <v>1.108400751570086E-2</v>
      </c>
      <c r="E130" s="4">
        <v>1.108400751570086E-2</v>
      </c>
      <c r="F130" s="4">
        <v>1.108400751570086E-2</v>
      </c>
      <c r="G130" s="4">
        <v>1.108400751570086E-2</v>
      </c>
      <c r="H130" s="4">
        <v>1.108400751570086E-2</v>
      </c>
      <c r="I130" s="4">
        <v>1.108400751570086E-2</v>
      </c>
      <c r="J130" s="4">
        <v>1.108400751570086E-2</v>
      </c>
      <c r="K130" s="4">
        <v>1.108400751570086E-2</v>
      </c>
      <c r="L130" s="4">
        <v>1.108400751570086E-2</v>
      </c>
      <c r="M130" s="4">
        <v>1.108400751570086E-2</v>
      </c>
      <c r="N130" t="s">
        <v>242</v>
      </c>
      <c r="O130" t="s">
        <v>801</v>
      </c>
      <c r="P130" t="s">
        <v>800</v>
      </c>
      <c r="Q130" t="s">
        <v>245</v>
      </c>
    </row>
    <row r="131" spans="1:17" x14ac:dyDescent="0.25">
      <c r="A131" t="s">
        <v>265</v>
      </c>
      <c r="B131" t="s">
        <v>127</v>
      </c>
      <c r="C131" s="4">
        <v>8.9226307102875397E-4</v>
      </c>
      <c r="D131" s="4">
        <v>8.9226307102875397E-4</v>
      </c>
      <c r="E131" s="4">
        <v>8.9226307102875397E-4</v>
      </c>
      <c r="F131" s="4">
        <v>8.9226307102875397E-4</v>
      </c>
      <c r="G131" s="4">
        <v>8.9226307102875397E-4</v>
      </c>
      <c r="H131" s="4">
        <v>8.9226307102875397E-4</v>
      </c>
      <c r="I131" s="4">
        <v>8.9226307102875397E-4</v>
      </c>
      <c r="J131" s="4">
        <v>8.9226307102875397E-4</v>
      </c>
      <c r="K131" s="4">
        <v>8.9226307102875397E-4</v>
      </c>
      <c r="L131" s="4">
        <v>8.9226307102875397E-4</v>
      </c>
      <c r="M131" s="4">
        <v>8.9226307102875397E-4</v>
      </c>
      <c r="N131" t="s">
        <v>271</v>
      </c>
      <c r="O131" t="s">
        <v>267</v>
      </c>
      <c r="P131" t="s">
        <v>268</v>
      </c>
      <c r="Q131" t="s">
        <v>245</v>
      </c>
    </row>
    <row r="132" spans="1:17" x14ac:dyDescent="0.25">
      <c r="A132" t="s">
        <v>264</v>
      </c>
      <c r="B132" t="s">
        <v>127</v>
      </c>
      <c r="C132" s="4">
        <v>8.9226307102875397E-4</v>
      </c>
      <c r="D132" s="4">
        <v>8.9226307102875397E-4</v>
      </c>
      <c r="E132" s="4">
        <v>8.9226307102875397E-4</v>
      </c>
      <c r="F132" s="4">
        <v>8.9226307102875397E-4</v>
      </c>
      <c r="G132" s="4">
        <v>8.9226307102875397E-4</v>
      </c>
      <c r="H132" s="4">
        <v>8.9226307102875397E-4</v>
      </c>
      <c r="I132" s="4">
        <v>8.9226307102875397E-4</v>
      </c>
      <c r="J132" s="4">
        <v>8.9226307102875397E-4</v>
      </c>
      <c r="K132" s="4">
        <v>8.9226307102875397E-4</v>
      </c>
      <c r="L132" s="4">
        <v>8.9226307102875397E-4</v>
      </c>
      <c r="M132" s="4">
        <v>8.9226307102875397E-4</v>
      </c>
      <c r="N132" t="s">
        <v>271</v>
      </c>
      <c r="O132" t="s">
        <v>263</v>
      </c>
      <c r="P132" t="s">
        <v>264</v>
      </c>
      <c r="Q132" t="s">
        <v>245</v>
      </c>
    </row>
    <row r="133" spans="1:17" x14ac:dyDescent="0.25">
      <c r="A133" t="s">
        <v>800</v>
      </c>
      <c r="B133" t="s">
        <v>127</v>
      </c>
      <c r="C133" s="4">
        <v>8.9226307102875397E-4</v>
      </c>
      <c r="D133" s="4">
        <v>8.9226307102875397E-4</v>
      </c>
      <c r="E133" s="4">
        <v>8.9226307102875397E-4</v>
      </c>
      <c r="F133" s="4">
        <v>8.9226307102875397E-4</v>
      </c>
      <c r="G133" s="4">
        <v>8.9226307102875397E-4</v>
      </c>
      <c r="H133" s="4">
        <v>8.9226307102875397E-4</v>
      </c>
      <c r="I133" s="4">
        <v>8.9226307102875397E-4</v>
      </c>
      <c r="J133" s="4">
        <v>8.9226307102875397E-4</v>
      </c>
      <c r="K133" s="4">
        <v>8.9226307102875397E-4</v>
      </c>
      <c r="L133" s="4">
        <v>8.9226307102875397E-4</v>
      </c>
      <c r="M133" s="4">
        <v>8.9226307102875397E-4</v>
      </c>
      <c r="N133" t="s">
        <v>242</v>
      </c>
      <c r="O133" t="s">
        <v>801</v>
      </c>
      <c r="P133" t="s">
        <v>800</v>
      </c>
      <c r="Q133" t="s">
        <v>245</v>
      </c>
    </row>
    <row r="134" spans="1:17" x14ac:dyDescent="0.25">
      <c r="A134" t="s">
        <v>265</v>
      </c>
      <c r="B134" t="s">
        <v>116</v>
      </c>
      <c r="C134" s="4">
        <v>4.7536967908338862E-2</v>
      </c>
      <c r="D134" s="4">
        <v>4.7536967908338862E-2</v>
      </c>
      <c r="E134" s="4">
        <v>4.7536967908338862E-2</v>
      </c>
      <c r="F134" s="4">
        <v>4.7536967908338862E-2</v>
      </c>
      <c r="G134" s="4">
        <v>4.7536967908338862E-2</v>
      </c>
      <c r="H134" s="4">
        <v>4.7536967908338862E-2</v>
      </c>
      <c r="I134" s="4">
        <v>4.7536967908338862E-2</v>
      </c>
      <c r="J134" s="4">
        <v>4.7536967908338862E-2</v>
      </c>
      <c r="K134" s="4">
        <v>4.7536967908338862E-2</v>
      </c>
      <c r="L134" s="4">
        <v>4.7536967908338862E-2</v>
      </c>
      <c r="M134" s="4">
        <v>4.7536967908338862E-2</v>
      </c>
      <c r="N134" t="s">
        <v>270</v>
      </c>
      <c r="O134" t="s">
        <v>267</v>
      </c>
      <c r="P134" t="s">
        <v>268</v>
      </c>
      <c r="Q134" t="s">
        <v>245</v>
      </c>
    </row>
    <row r="135" spans="1:17" x14ac:dyDescent="0.25">
      <c r="A135" t="s">
        <v>264</v>
      </c>
      <c r="B135" t="s">
        <v>116</v>
      </c>
      <c r="C135" s="4">
        <v>4.7536967908338862E-2</v>
      </c>
      <c r="D135" s="4">
        <v>4.7536967908338862E-2</v>
      </c>
      <c r="E135" s="4">
        <v>4.7536967908338862E-2</v>
      </c>
      <c r="F135" s="4">
        <v>4.7536967908338862E-2</v>
      </c>
      <c r="G135" s="4">
        <v>4.7536967908338862E-2</v>
      </c>
      <c r="H135" s="4">
        <v>4.7536967908338862E-2</v>
      </c>
      <c r="I135" s="4">
        <v>4.7536967908338862E-2</v>
      </c>
      <c r="J135" s="4">
        <v>4.7536967908338862E-2</v>
      </c>
      <c r="K135" s="4">
        <v>4.7536967908338862E-2</v>
      </c>
      <c r="L135" s="4">
        <v>4.7536967908338862E-2</v>
      </c>
      <c r="M135" s="4">
        <v>4.7536967908338862E-2</v>
      </c>
      <c r="N135" t="s">
        <v>270</v>
      </c>
      <c r="O135" t="s">
        <v>263</v>
      </c>
      <c r="P135" t="s">
        <v>264</v>
      </c>
      <c r="Q135" t="s">
        <v>245</v>
      </c>
    </row>
    <row r="136" spans="1:17" x14ac:dyDescent="0.25">
      <c r="A136" t="s">
        <v>800</v>
      </c>
      <c r="B136" t="s">
        <v>116</v>
      </c>
      <c r="C136" s="4">
        <v>4.7536967908338862E-2</v>
      </c>
      <c r="D136" s="4">
        <v>4.7536967908338862E-2</v>
      </c>
      <c r="E136" s="4">
        <v>4.7536967908338862E-2</v>
      </c>
      <c r="F136" s="4">
        <v>4.7536967908338862E-2</v>
      </c>
      <c r="G136" s="4">
        <v>4.7536967908338862E-2</v>
      </c>
      <c r="H136" s="4">
        <v>4.7536967908338862E-2</v>
      </c>
      <c r="I136" s="4">
        <v>4.7536967908338862E-2</v>
      </c>
      <c r="J136" s="4">
        <v>4.7536967908338862E-2</v>
      </c>
      <c r="K136" s="4">
        <v>4.7536967908338862E-2</v>
      </c>
      <c r="L136" s="4">
        <v>4.7536967908338862E-2</v>
      </c>
      <c r="M136" s="4">
        <v>4.7536967908338862E-2</v>
      </c>
      <c r="N136" t="s">
        <v>242</v>
      </c>
      <c r="O136" t="s">
        <v>801</v>
      </c>
      <c r="P136" t="s">
        <v>800</v>
      </c>
      <c r="Q136" t="s">
        <v>245</v>
      </c>
    </row>
    <row r="137" spans="1:17" x14ac:dyDescent="0.25">
      <c r="A137" t="s">
        <v>265</v>
      </c>
      <c r="B137" t="s">
        <v>86</v>
      </c>
      <c r="C137" s="4">
        <v>0.56624839712255726</v>
      </c>
      <c r="D137" s="4">
        <v>0.56624839712255726</v>
      </c>
      <c r="E137" s="4">
        <v>0.56624839712255726</v>
      </c>
      <c r="F137" s="4">
        <v>0.56624839712255726</v>
      </c>
      <c r="G137" s="4">
        <v>0.56624839712255726</v>
      </c>
      <c r="H137" s="4">
        <v>0.56624839712255726</v>
      </c>
      <c r="I137" s="4">
        <v>0.56624839712255726</v>
      </c>
      <c r="J137" s="4">
        <v>0.56624839712255726</v>
      </c>
      <c r="K137" s="4">
        <v>0.56624839712255726</v>
      </c>
      <c r="L137" s="4">
        <v>0.56624839712255726</v>
      </c>
      <c r="M137" s="4">
        <v>0.56624839712255726</v>
      </c>
      <c r="N137" t="s">
        <v>254</v>
      </c>
      <c r="O137" t="s">
        <v>267</v>
      </c>
      <c r="P137" t="s">
        <v>268</v>
      </c>
      <c r="Q137" t="s">
        <v>245</v>
      </c>
    </row>
    <row r="138" spans="1:17" x14ac:dyDescent="0.25">
      <c r="A138" t="s">
        <v>264</v>
      </c>
      <c r="B138" t="s">
        <v>86</v>
      </c>
      <c r="C138" s="4">
        <v>0.56624839712255726</v>
      </c>
      <c r="D138" s="4">
        <v>0.56624839712255726</v>
      </c>
      <c r="E138" s="4">
        <v>0.56624839712255726</v>
      </c>
      <c r="F138" s="4">
        <v>0.56624839712255726</v>
      </c>
      <c r="G138" s="4">
        <v>0.56624839712255726</v>
      </c>
      <c r="H138" s="4">
        <v>0.56624839712255726</v>
      </c>
      <c r="I138" s="4">
        <v>0.56624839712255726</v>
      </c>
      <c r="J138" s="4">
        <v>0.56624839712255726</v>
      </c>
      <c r="K138" s="4">
        <v>0.56624839712255726</v>
      </c>
      <c r="L138" s="4">
        <v>0.56624839712255726</v>
      </c>
      <c r="M138" s="4">
        <v>0.56624839712255726</v>
      </c>
      <c r="N138" t="s">
        <v>254</v>
      </c>
      <c r="O138" t="s">
        <v>263</v>
      </c>
      <c r="P138" t="s">
        <v>264</v>
      </c>
      <c r="Q138" t="s">
        <v>245</v>
      </c>
    </row>
    <row r="139" spans="1:17" x14ac:dyDescent="0.25">
      <c r="A139" t="s">
        <v>800</v>
      </c>
      <c r="B139" t="s">
        <v>86</v>
      </c>
      <c r="C139" s="4">
        <v>0.56624839712255726</v>
      </c>
      <c r="D139" s="4">
        <v>0.56624839712255726</v>
      </c>
      <c r="E139" s="4">
        <v>0.56624839712255726</v>
      </c>
      <c r="F139" s="4">
        <v>0.56624839712255726</v>
      </c>
      <c r="G139" s="4">
        <v>0.56624839712255726</v>
      </c>
      <c r="H139" s="4">
        <v>0.56624839712255726</v>
      </c>
      <c r="I139" s="4">
        <v>0.56624839712255726</v>
      </c>
      <c r="J139" s="4">
        <v>0.56624839712255726</v>
      </c>
      <c r="K139" s="4">
        <v>0.56624839712255726</v>
      </c>
      <c r="L139" s="4">
        <v>0.56624839712255726</v>
      </c>
      <c r="M139" s="4">
        <v>0.56624839712255726</v>
      </c>
      <c r="N139" t="s">
        <v>242</v>
      </c>
      <c r="O139" t="s">
        <v>801</v>
      </c>
      <c r="P139" t="s">
        <v>800</v>
      </c>
      <c r="Q139" t="s">
        <v>245</v>
      </c>
    </row>
    <row r="140" spans="1:17" x14ac:dyDescent="0.25">
      <c r="A140" t="s">
        <v>265</v>
      </c>
      <c r="B140" t="s">
        <v>128</v>
      </c>
      <c r="C140" s="4">
        <v>4.3463650291407623E-3</v>
      </c>
      <c r="D140" s="4">
        <v>4.3463650291407623E-3</v>
      </c>
      <c r="E140" s="4">
        <v>4.3463650291407623E-3</v>
      </c>
      <c r="F140" s="4">
        <v>4.3463650291407623E-3</v>
      </c>
      <c r="G140" s="4">
        <v>4.3463650291407623E-3</v>
      </c>
      <c r="H140" s="4">
        <v>4.3463650291407623E-3</v>
      </c>
      <c r="I140" s="4">
        <v>4.3463650291407623E-3</v>
      </c>
      <c r="J140" s="4">
        <v>4.3463650291407623E-3</v>
      </c>
      <c r="K140" s="4">
        <v>4.3463650291407623E-3</v>
      </c>
      <c r="L140" s="4">
        <v>4.3463650291407623E-3</v>
      </c>
      <c r="M140" s="4">
        <v>4.3463650291407623E-3</v>
      </c>
      <c r="N140" t="s">
        <v>271</v>
      </c>
      <c r="O140" t="s">
        <v>267</v>
      </c>
      <c r="P140" t="s">
        <v>268</v>
      </c>
      <c r="Q140" t="s">
        <v>245</v>
      </c>
    </row>
    <row r="141" spans="1:17" x14ac:dyDescent="0.25">
      <c r="A141" t="s">
        <v>264</v>
      </c>
      <c r="B141" t="s">
        <v>128</v>
      </c>
      <c r="C141" s="4">
        <v>4.3463650291407623E-3</v>
      </c>
      <c r="D141" s="4">
        <v>4.3463650291407623E-3</v>
      </c>
      <c r="E141" s="4">
        <v>4.3463650291407623E-3</v>
      </c>
      <c r="F141" s="4">
        <v>4.3463650291407623E-3</v>
      </c>
      <c r="G141" s="4">
        <v>4.3463650291407623E-3</v>
      </c>
      <c r="H141" s="4">
        <v>4.3463650291407623E-3</v>
      </c>
      <c r="I141" s="4">
        <v>4.3463650291407623E-3</v>
      </c>
      <c r="J141" s="4">
        <v>4.3463650291407623E-3</v>
      </c>
      <c r="K141" s="4">
        <v>4.3463650291407623E-3</v>
      </c>
      <c r="L141" s="4">
        <v>4.3463650291407623E-3</v>
      </c>
      <c r="M141" s="4">
        <v>4.3463650291407623E-3</v>
      </c>
      <c r="N141" t="s">
        <v>271</v>
      </c>
      <c r="O141" t="s">
        <v>263</v>
      </c>
      <c r="P141" t="s">
        <v>264</v>
      </c>
      <c r="Q141" t="s">
        <v>245</v>
      </c>
    </row>
    <row r="142" spans="1:17" x14ac:dyDescent="0.25">
      <c r="A142" t="s">
        <v>800</v>
      </c>
      <c r="B142" t="s">
        <v>128</v>
      </c>
      <c r="C142" s="4">
        <v>4.3463650291407623E-3</v>
      </c>
      <c r="D142" s="4">
        <v>4.3463650291407623E-3</v>
      </c>
      <c r="E142" s="4">
        <v>4.3463650291407623E-3</v>
      </c>
      <c r="F142" s="4">
        <v>4.3463650291407623E-3</v>
      </c>
      <c r="G142" s="4">
        <v>4.3463650291407623E-3</v>
      </c>
      <c r="H142" s="4">
        <v>4.3463650291407623E-3</v>
      </c>
      <c r="I142" s="4">
        <v>4.3463650291407623E-3</v>
      </c>
      <c r="J142" s="4">
        <v>4.3463650291407623E-3</v>
      </c>
      <c r="K142" s="4">
        <v>4.3463650291407623E-3</v>
      </c>
      <c r="L142" s="4">
        <v>4.3463650291407623E-3</v>
      </c>
      <c r="M142" s="4">
        <v>4.3463650291407623E-3</v>
      </c>
      <c r="N142" t="s">
        <v>242</v>
      </c>
      <c r="O142" t="s">
        <v>801</v>
      </c>
      <c r="P142" t="s">
        <v>800</v>
      </c>
      <c r="Q142" t="s">
        <v>245</v>
      </c>
    </row>
    <row r="143" spans="1:17" x14ac:dyDescent="0.25">
      <c r="A143" t="s">
        <v>265</v>
      </c>
      <c r="B143" t="s">
        <v>91</v>
      </c>
      <c r="C143" s="4">
        <v>6.4278979594655011E-3</v>
      </c>
      <c r="D143" s="4">
        <v>6.4278979594655011E-3</v>
      </c>
      <c r="E143" s="4">
        <v>6.4278979594655011E-3</v>
      </c>
      <c r="F143" s="4">
        <v>6.4278979594655011E-3</v>
      </c>
      <c r="G143" s="4">
        <v>6.4278979594655011E-3</v>
      </c>
      <c r="H143" s="4">
        <v>6.4278979594655011E-3</v>
      </c>
      <c r="I143" s="4">
        <v>6.4278979594655011E-3</v>
      </c>
      <c r="J143" s="4">
        <v>6.4278979594655011E-3</v>
      </c>
      <c r="K143" s="4">
        <v>6.4278979594655011E-3</v>
      </c>
      <c r="L143" s="4">
        <v>6.4278979594655011E-3</v>
      </c>
      <c r="M143" s="4">
        <v>6.4278979594655011E-3</v>
      </c>
      <c r="N143" t="s">
        <v>255</v>
      </c>
      <c r="O143" t="s">
        <v>267</v>
      </c>
      <c r="P143" t="s">
        <v>268</v>
      </c>
      <c r="Q143" t="s">
        <v>245</v>
      </c>
    </row>
    <row r="144" spans="1:17" x14ac:dyDescent="0.25">
      <c r="A144" t="s">
        <v>264</v>
      </c>
      <c r="B144" t="s">
        <v>91</v>
      </c>
      <c r="C144" s="4">
        <v>6.4278979594655011E-3</v>
      </c>
      <c r="D144" s="4">
        <v>6.4278979594655011E-3</v>
      </c>
      <c r="E144" s="4">
        <v>6.4278979594655011E-3</v>
      </c>
      <c r="F144" s="4">
        <v>6.4278979594655011E-3</v>
      </c>
      <c r="G144" s="4">
        <v>6.4278979594655011E-3</v>
      </c>
      <c r="H144" s="4">
        <v>6.4278979594655011E-3</v>
      </c>
      <c r="I144" s="4">
        <v>6.4278979594655011E-3</v>
      </c>
      <c r="J144" s="4">
        <v>6.4278979594655011E-3</v>
      </c>
      <c r="K144" s="4">
        <v>6.4278979594655011E-3</v>
      </c>
      <c r="L144" s="4">
        <v>6.4278979594655011E-3</v>
      </c>
      <c r="M144" s="4">
        <v>6.4278979594655011E-3</v>
      </c>
      <c r="N144" t="s">
        <v>255</v>
      </c>
      <c r="O144" t="s">
        <v>263</v>
      </c>
      <c r="P144" t="s">
        <v>264</v>
      </c>
      <c r="Q144" t="s">
        <v>245</v>
      </c>
    </row>
    <row r="145" spans="1:17" x14ac:dyDescent="0.25">
      <c r="A145" t="s">
        <v>800</v>
      </c>
      <c r="B145" t="s">
        <v>91</v>
      </c>
      <c r="C145" s="4">
        <v>6.4278979594655011E-3</v>
      </c>
      <c r="D145" s="4">
        <v>6.4278979594655011E-3</v>
      </c>
      <c r="E145" s="4">
        <v>6.4278979594655011E-3</v>
      </c>
      <c r="F145" s="4">
        <v>6.4278979594655011E-3</v>
      </c>
      <c r="G145" s="4">
        <v>6.4278979594655011E-3</v>
      </c>
      <c r="H145" s="4">
        <v>6.4278979594655011E-3</v>
      </c>
      <c r="I145" s="4">
        <v>6.4278979594655011E-3</v>
      </c>
      <c r="J145" s="4">
        <v>6.4278979594655011E-3</v>
      </c>
      <c r="K145" s="4">
        <v>6.4278979594655011E-3</v>
      </c>
      <c r="L145" s="4">
        <v>6.4278979594655011E-3</v>
      </c>
      <c r="M145" s="4">
        <v>6.4278979594655011E-3</v>
      </c>
      <c r="N145" t="s">
        <v>242</v>
      </c>
      <c r="O145" t="s">
        <v>801</v>
      </c>
      <c r="P145" t="s">
        <v>800</v>
      </c>
      <c r="Q145" t="s">
        <v>245</v>
      </c>
    </row>
    <row r="146" spans="1:17" x14ac:dyDescent="0.25">
      <c r="A146" t="s">
        <v>265</v>
      </c>
      <c r="B146" t="s">
        <v>117</v>
      </c>
      <c r="C146" s="4">
        <v>8.188977341783964E-3</v>
      </c>
      <c r="D146" s="4">
        <v>8.188977341783964E-3</v>
      </c>
      <c r="E146" s="4">
        <v>8.188977341783964E-3</v>
      </c>
      <c r="F146" s="4">
        <v>8.188977341783964E-3</v>
      </c>
      <c r="G146" s="4">
        <v>8.188977341783964E-3</v>
      </c>
      <c r="H146" s="4">
        <v>8.188977341783964E-3</v>
      </c>
      <c r="I146" s="4">
        <v>8.188977341783964E-3</v>
      </c>
      <c r="J146" s="4">
        <v>8.188977341783964E-3</v>
      </c>
      <c r="K146" s="4">
        <v>8.188977341783964E-3</v>
      </c>
      <c r="L146" s="4">
        <v>8.188977341783964E-3</v>
      </c>
      <c r="M146" s="4">
        <v>8.188977341783964E-3</v>
      </c>
      <c r="N146" t="s">
        <v>255</v>
      </c>
      <c r="O146" t="s">
        <v>267</v>
      </c>
      <c r="P146" t="s">
        <v>268</v>
      </c>
      <c r="Q146" t="s">
        <v>245</v>
      </c>
    </row>
    <row r="147" spans="1:17" x14ac:dyDescent="0.25">
      <c r="A147" t="s">
        <v>264</v>
      </c>
      <c r="B147" t="s">
        <v>117</v>
      </c>
      <c r="C147" s="4">
        <v>8.188977341783964E-3</v>
      </c>
      <c r="D147" s="4">
        <v>8.188977341783964E-3</v>
      </c>
      <c r="E147" s="4">
        <v>8.188977341783964E-3</v>
      </c>
      <c r="F147" s="4">
        <v>8.188977341783964E-3</v>
      </c>
      <c r="G147" s="4">
        <v>8.188977341783964E-3</v>
      </c>
      <c r="H147" s="4">
        <v>8.188977341783964E-3</v>
      </c>
      <c r="I147" s="4">
        <v>8.188977341783964E-3</v>
      </c>
      <c r="J147" s="4">
        <v>8.188977341783964E-3</v>
      </c>
      <c r="K147" s="4">
        <v>8.188977341783964E-3</v>
      </c>
      <c r="L147" s="4">
        <v>8.188977341783964E-3</v>
      </c>
      <c r="M147" s="4">
        <v>8.188977341783964E-3</v>
      </c>
      <c r="N147" t="s">
        <v>255</v>
      </c>
      <c r="O147" t="s">
        <v>263</v>
      </c>
      <c r="P147" t="s">
        <v>264</v>
      </c>
      <c r="Q147" t="s">
        <v>245</v>
      </c>
    </row>
    <row r="148" spans="1:17" x14ac:dyDescent="0.25">
      <c r="A148" t="s">
        <v>800</v>
      </c>
      <c r="B148" t="s">
        <v>117</v>
      </c>
      <c r="C148" s="4">
        <v>8.188977341783964E-3</v>
      </c>
      <c r="D148" s="4">
        <v>8.188977341783964E-3</v>
      </c>
      <c r="E148" s="4">
        <v>8.188977341783964E-3</v>
      </c>
      <c r="F148" s="4">
        <v>8.188977341783964E-3</v>
      </c>
      <c r="G148" s="4">
        <v>8.188977341783964E-3</v>
      </c>
      <c r="H148" s="4">
        <v>8.188977341783964E-3</v>
      </c>
      <c r="I148" s="4">
        <v>8.188977341783964E-3</v>
      </c>
      <c r="J148" s="4">
        <v>8.188977341783964E-3</v>
      </c>
      <c r="K148" s="4">
        <v>8.188977341783964E-3</v>
      </c>
      <c r="L148" s="4">
        <v>8.188977341783964E-3</v>
      </c>
      <c r="M148" s="4">
        <v>8.188977341783964E-3</v>
      </c>
      <c r="N148" t="s">
        <v>242</v>
      </c>
      <c r="O148" t="s">
        <v>801</v>
      </c>
      <c r="P148" t="s">
        <v>800</v>
      </c>
      <c r="Q148" t="s">
        <v>245</v>
      </c>
    </row>
    <row r="149" spans="1:17" x14ac:dyDescent="0.25">
      <c r="A149" t="s">
        <v>265</v>
      </c>
      <c r="B149" t="s">
        <v>92</v>
      </c>
      <c r="C149" s="4">
        <v>6.118588379550381E-4</v>
      </c>
      <c r="D149" s="4">
        <v>6.118588379550381E-4</v>
      </c>
      <c r="E149" s="4">
        <v>6.118588379550381E-4</v>
      </c>
      <c r="F149" s="4">
        <v>6.118588379550381E-4</v>
      </c>
      <c r="G149" s="4">
        <v>6.118588379550381E-4</v>
      </c>
      <c r="H149" s="4">
        <v>6.118588379550381E-4</v>
      </c>
      <c r="I149" s="4">
        <v>6.118588379550381E-4</v>
      </c>
      <c r="J149" s="4">
        <v>6.118588379550381E-4</v>
      </c>
      <c r="K149" s="4">
        <v>6.118588379550381E-4</v>
      </c>
      <c r="L149" s="4">
        <v>6.118588379550381E-4</v>
      </c>
      <c r="M149" s="4">
        <v>6.118588379550381E-4</v>
      </c>
      <c r="N149" t="s">
        <v>271</v>
      </c>
      <c r="O149" t="s">
        <v>267</v>
      </c>
      <c r="P149" t="s">
        <v>268</v>
      </c>
      <c r="Q149" t="s">
        <v>245</v>
      </c>
    </row>
    <row r="150" spans="1:17" x14ac:dyDescent="0.25">
      <c r="A150" t="s">
        <v>264</v>
      </c>
      <c r="B150" t="s">
        <v>92</v>
      </c>
      <c r="C150" s="4">
        <v>6.118588379550381E-4</v>
      </c>
      <c r="D150" s="4">
        <v>6.118588379550381E-4</v>
      </c>
      <c r="E150" s="4">
        <v>6.118588379550381E-4</v>
      </c>
      <c r="F150" s="4">
        <v>6.118588379550381E-4</v>
      </c>
      <c r="G150" s="4">
        <v>6.118588379550381E-4</v>
      </c>
      <c r="H150" s="4">
        <v>6.118588379550381E-4</v>
      </c>
      <c r="I150" s="4">
        <v>6.118588379550381E-4</v>
      </c>
      <c r="J150" s="4">
        <v>6.118588379550381E-4</v>
      </c>
      <c r="K150" s="4">
        <v>6.118588379550381E-4</v>
      </c>
      <c r="L150" s="4">
        <v>6.118588379550381E-4</v>
      </c>
      <c r="M150" s="4">
        <v>6.118588379550381E-4</v>
      </c>
      <c r="N150" t="s">
        <v>271</v>
      </c>
      <c r="O150" t="s">
        <v>263</v>
      </c>
      <c r="P150" t="s">
        <v>264</v>
      </c>
      <c r="Q150" t="s">
        <v>245</v>
      </c>
    </row>
    <row r="151" spans="1:17" x14ac:dyDescent="0.25">
      <c r="A151" t="s">
        <v>800</v>
      </c>
      <c r="B151" t="s">
        <v>92</v>
      </c>
      <c r="C151" s="4">
        <v>6.118588379550381E-4</v>
      </c>
      <c r="D151" s="4">
        <v>6.118588379550381E-4</v>
      </c>
      <c r="E151" s="4">
        <v>6.118588379550381E-4</v>
      </c>
      <c r="F151" s="4">
        <v>6.118588379550381E-4</v>
      </c>
      <c r="G151" s="4">
        <v>6.118588379550381E-4</v>
      </c>
      <c r="H151" s="4">
        <v>6.118588379550381E-4</v>
      </c>
      <c r="I151" s="4">
        <v>6.118588379550381E-4</v>
      </c>
      <c r="J151" s="4">
        <v>6.118588379550381E-4</v>
      </c>
      <c r="K151" s="4">
        <v>6.118588379550381E-4</v>
      </c>
      <c r="L151" s="4">
        <v>6.118588379550381E-4</v>
      </c>
      <c r="M151" s="4">
        <v>6.118588379550381E-4</v>
      </c>
      <c r="N151" t="s">
        <v>242</v>
      </c>
      <c r="O151" t="s">
        <v>801</v>
      </c>
      <c r="P151" t="s">
        <v>800</v>
      </c>
      <c r="Q151" t="s">
        <v>245</v>
      </c>
    </row>
    <row r="152" spans="1:17" x14ac:dyDescent="0.25">
      <c r="A152" t="s">
        <v>265</v>
      </c>
      <c r="B152" t="s">
        <v>93</v>
      </c>
      <c r="C152" s="4">
        <v>2.8623904948631728E-3</v>
      </c>
      <c r="D152" s="4">
        <v>2.8623904948631728E-3</v>
      </c>
      <c r="E152" s="4">
        <v>2.8623904948631728E-3</v>
      </c>
      <c r="F152" s="4">
        <v>2.8623904948631728E-3</v>
      </c>
      <c r="G152" s="4">
        <v>2.8623904948631728E-3</v>
      </c>
      <c r="H152" s="4">
        <v>2.8623904948631728E-3</v>
      </c>
      <c r="I152" s="4">
        <v>2.8623904948631728E-3</v>
      </c>
      <c r="J152" s="4">
        <v>2.8623904948631728E-3</v>
      </c>
      <c r="K152" s="4">
        <v>2.8623904948631728E-3</v>
      </c>
      <c r="L152" s="4">
        <v>2.8623904948631728E-3</v>
      </c>
      <c r="M152" s="4">
        <v>2.8623904948631728E-3</v>
      </c>
      <c r="N152" t="s">
        <v>255</v>
      </c>
      <c r="O152" t="s">
        <v>267</v>
      </c>
      <c r="P152" t="s">
        <v>268</v>
      </c>
      <c r="Q152" t="s">
        <v>245</v>
      </c>
    </row>
    <row r="153" spans="1:17" x14ac:dyDescent="0.25">
      <c r="A153" t="s">
        <v>264</v>
      </c>
      <c r="B153" t="s">
        <v>93</v>
      </c>
      <c r="C153" s="4">
        <v>2.8623904948631728E-3</v>
      </c>
      <c r="D153" s="4">
        <v>2.8623904948631728E-3</v>
      </c>
      <c r="E153" s="4">
        <v>2.8623904948631728E-3</v>
      </c>
      <c r="F153" s="4">
        <v>2.8623904948631728E-3</v>
      </c>
      <c r="G153" s="4">
        <v>2.8623904948631728E-3</v>
      </c>
      <c r="H153" s="4">
        <v>2.8623904948631728E-3</v>
      </c>
      <c r="I153" s="4">
        <v>2.8623904948631728E-3</v>
      </c>
      <c r="J153" s="4">
        <v>2.8623904948631728E-3</v>
      </c>
      <c r="K153" s="4">
        <v>2.8623904948631728E-3</v>
      </c>
      <c r="L153" s="4">
        <v>2.8623904948631728E-3</v>
      </c>
      <c r="M153" s="4">
        <v>2.8623904948631728E-3</v>
      </c>
      <c r="N153" t="s">
        <v>255</v>
      </c>
      <c r="O153" t="s">
        <v>263</v>
      </c>
      <c r="P153" t="s">
        <v>264</v>
      </c>
      <c r="Q153" t="s">
        <v>245</v>
      </c>
    </row>
    <row r="154" spans="1:17" x14ac:dyDescent="0.25">
      <c r="A154" t="s">
        <v>800</v>
      </c>
      <c r="B154" t="s">
        <v>93</v>
      </c>
      <c r="C154" s="4">
        <v>2.8623904948631728E-3</v>
      </c>
      <c r="D154" s="4">
        <v>2.8623904948631728E-3</v>
      </c>
      <c r="E154" s="4">
        <v>2.8623904948631728E-3</v>
      </c>
      <c r="F154" s="4">
        <v>2.8623904948631728E-3</v>
      </c>
      <c r="G154" s="4">
        <v>2.8623904948631728E-3</v>
      </c>
      <c r="H154" s="4">
        <v>2.8623904948631728E-3</v>
      </c>
      <c r="I154" s="4">
        <v>2.8623904948631728E-3</v>
      </c>
      <c r="J154" s="4">
        <v>2.8623904948631728E-3</v>
      </c>
      <c r="K154" s="4">
        <v>2.8623904948631728E-3</v>
      </c>
      <c r="L154" s="4">
        <v>2.8623904948631728E-3</v>
      </c>
      <c r="M154" s="4">
        <v>2.8623904948631728E-3</v>
      </c>
      <c r="N154" t="s">
        <v>242</v>
      </c>
      <c r="O154" t="s">
        <v>801</v>
      </c>
      <c r="P154" t="s">
        <v>800</v>
      </c>
      <c r="Q154" t="s">
        <v>245</v>
      </c>
    </row>
    <row r="155" spans="1:17" x14ac:dyDescent="0.25">
      <c r="A155" t="s">
        <v>265</v>
      </c>
      <c r="B155" t="s">
        <v>129</v>
      </c>
      <c r="C155" s="4">
        <v>1.1324325152655201E-2</v>
      </c>
      <c r="D155" s="4">
        <v>1.1324325152655201E-2</v>
      </c>
      <c r="E155" s="4">
        <v>1.1324325152655201E-2</v>
      </c>
      <c r="F155" s="4">
        <v>1.1324325152655201E-2</v>
      </c>
      <c r="G155" s="4">
        <v>1.1324325152655201E-2</v>
      </c>
      <c r="H155" s="4">
        <v>1.1324325152655201E-2</v>
      </c>
      <c r="I155" s="4">
        <v>1.1324325152655201E-2</v>
      </c>
      <c r="J155" s="4">
        <v>1.1324325152655201E-2</v>
      </c>
      <c r="K155" s="4">
        <v>1.1324325152655201E-2</v>
      </c>
      <c r="L155" s="4">
        <v>1.1324325152655201E-2</v>
      </c>
      <c r="M155" s="4">
        <v>1.1324325152655201E-2</v>
      </c>
      <c r="N155" t="s">
        <v>255</v>
      </c>
      <c r="O155" t="s">
        <v>267</v>
      </c>
      <c r="P155" t="s">
        <v>268</v>
      </c>
      <c r="Q155" t="s">
        <v>245</v>
      </c>
    </row>
    <row r="156" spans="1:17" x14ac:dyDescent="0.25">
      <c r="A156" t="s">
        <v>264</v>
      </c>
      <c r="B156" t="s">
        <v>129</v>
      </c>
      <c r="C156" s="4">
        <v>1.1324325152655201E-2</v>
      </c>
      <c r="D156" s="4">
        <v>1.1324325152655201E-2</v>
      </c>
      <c r="E156" s="4">
        <v>1.1324325152655201E-2</v>
      </c>
      <c r="F156" s="4">
        <v>1.1324325152655201E-2</v>
      </c>
      <c r="G156" s="4">
        <v>1.1324325152655201E-2</v>
      </c>
      <c r="H156" s="4">
        <v>1.1324325152655201E-2</v>
      </c>
      <c r="I156" s="4">
        <v>1.1324325152655201E-2</v>
      </c>
      <c r="J156" s="4">
        <v>1.1324325152655201E-2</v>
      </c>
      <c r="K156" s="4">
        <v>1.1324325152655201E-2</v>
      </c>
      <c r="L156" s="4">
        <v>1.1324325152655201E-2</v>
      </c>
      <c r="M156" s="4">
        <v>1.1324325152655201E-2</v>
      </c>
      <c r="N156" t="s">
        <v>255</v>
      </c>
      <c r="O156" t="s">
        <v>263</v>
      </c>
      <c r="P156" t="s">
        <v>264</v>
      </c>
      <c r="Q156" t="s">
        <v>245</v>
      </c>
    </row>
    <row r="157" spans="1:17" x14ac:dyDescent="0.25">
      <c r="A157" t="s">
        <v>800</v>
      </c>
      <c r="B157" t="s">
        <v>129</v>
      </c>
      <c r="C157" s="4">
        <v>1.1324325152655201E-2</v>
      </c>
      <c r="D157" s="4">
        <v>1.1324325152655201E-2</v>
      </c>
      <c r="E157" s="4">
        <v>1.1324325152655201E-2</v>
      </c>
      <c r="F157" s="4">
        <v>1.1324325152655201E-2</v>
      </c>
      <c r="G157" s="4">
        <v>1.1324325152655201E-2</v>
      </c>
      <c r="H157" s="4">
        <v>1.1324325152655201E-2</v>
      </c>
      <c r="I157" s="4">
        <v>1.1324325152655201E-2</v>
      </c>
      <c r="J157" s="4">
        <v>1.1324325152655201E-2</v>
      </c>
      <c r="K157" s="4">
        <v>1.1324325152655201E-2</v>
      </c>
      <c r="L157" s="4">
        <v>1.1324325152655201E-2</v>
      </c>
      <c r="M157" s="4">
        <v>1.1324325152655201E-2</v>
      </c>
      <c r="N157" t="s">
        <v>242</v>
      </c>
      <c r="O157" t="s">
        <v>801</v>
      </c>
      <c r="P157" t="s">
        <v>800</v>
      </c>
      <c r="Q157" t="s">
        <v>245</v>
      </c>
    </row>
    <row r="158" spans="1:17" x14ac:dyDescent="0.25">
      <c r="A158" t="s">
        <v>265</v>
      </c>
      <c r="B158" t="s">
        <v>97</v>
      </c>
      <c r="C158" s="4">
        <v>5.5719607448364822E-2</v>
      </c>
      <c r="D158" s="4">
        <v>5.5719607448364822E-2</v>
      </c>
      <c r="E158" s="4">
        <v>5.5719607448364822E-2</v>
      </c>
      <c r="F158" s="4">
        <v>5.5719607448364822E-2</v>
      </c>
      <c r="G158" s="4">
        <v>5.5719607448364822E-2</v>
      </c>
      <c r="H158" s="4">
        <v>5.5719607448364822E-2</v>
      </c>
      <c r="I158" s="4">
        <v>5.5719607448364822E-2</v>
      </c>
      <c r="J158" s="4">
        <v>5.5719607448364822E-2</v>
      </c>
      <c r="K158" s="4">
        <v>5.5719607448364822E-2</v>
      </c>
      <c r="L158" s="4">
        <v>5.5719607448364822E-2</v>
      </c>
      <c r="M158" s="4">
        <v>5.5719607448364822E-2</v>
      </c>
      <c r="N158" t="s">
        <v>258</v>
      </c>
      <c r="O158" t="s">
        <v>267</v>
      </c>
      <c r="P158" t="s">
        <v>268</v>
      </c>
      <c r="Q158" t="s">
        <v>245</v>
      </c>
    </row>
    <row r="159" spans="1:17" x14ac:dyDescent="0.25">
      <c r="A159" t="s">
        <v>264</v>
      </c>
      <c r="B159" t="s">
        <v>97</v>
      </c>
      <c r="C159" s="4">
        <v>5.5719607448364822E-2</v>
      </c>
      <c r="D159" s="4">
        <v>5.5719607448364822E-2</v>
      </c>
      <c r="E159" s="4">
        <v>5.5719607448364822E-2</v>
      </c>
      <c r="F159" s="4">
        <v>5.5719607448364822E-2</v>
      </c>
      <c r="G159" s="4">
        <v>5.5719607448364822E-2</v>
      </c>
      <c r="H159" s="4">
        <v>5.5719607448364822E-2</v>
      </c>
      <c r="I159" s="4">
        <v>5.5719607448364822E-2</v>
      </c>
      <c r="J159" s="4">
        <v>5.5719607448364822E-2</v>
      </c>
      <c r="K159" s="4">
        <v>5.5719607448364822E-2</v>
      </c>
      <c r="L159" s="4">
        <v>5.5719607448364822E-2</v>
      </c>
      <c r="M159" s="4">
        <v>5.5719607448364822E-2</v>
      </c>
      <c r="N159" t="s">
        <v>258</v>
      </c>
      <c r="O159" t="s">
        <v>263</v>
      </c>
      <c r="P159" t="s">
        <v>264</v>
      </c>
      <c r="Q159" t="s">
        <v>245</v>
      </c>
    </row>
    <row r="160" spans="1:17" x14ac:dyDescent="0.25">
      <c r="A160" t="s">
        <v>800</v>
      </c>
      <c r="B160" t="s">
        <v>97</v>
      </c>
      <c r="C160" s="4">
        <v>5.5719607448364822E-2</v>
      </c>
      <c r="D160" s="4">
        <v>5.5719607448364822E-2</v>
      </c>
      <c r="E160" s="4">
        <v>5.5719607448364822E-2</v>
      </c>
      <c r="F160" s="4">
        <v>5.5719607448364822E-2</v>
      </c>
      <c r="G160" s="4">
        <v>5.5719607448364822E-2</v>
      </c>
      <c r="H160" s="4">
        <v>5.5719607448364822E-2</v>
      </c>
      <c r="I160" s="4">
        <v>5.5719607448364822E-2</v>
      </c>
      <c r="J160" s="4">
        <v>5.5719607448364822E-2</v>
      </c>
      <c r="K160" s="4">
        <v>5.5719607448364822E-2</v>
      </c>
      <c r="L160" s="4">
        <v>5.5719607448364822E-2</v>
      </c>
      <c r="M160" s="4">
        <v>5.5719607448364822E-2</v>
      </c>
      <c r="N160" t="s">
        <v>242</v>
      </c>
      <c r="O160" t="s">
        <v>801</v>
      </c>
      <c r="P160" t="s">
        <v>800</v>
      </c>
      <c r="Q160" t="s">
        <v>245</v>
      </c>
    </row>
    <row r="161" spans="1:17" x14ac:dyDescent="0.25">
      <c r="A161" t="s">
        <v>265</v>
      </c>
      <c r="B161" t="s">
        <v>98</v>
      </c>
      <c r="C161" s="4">
        <v>3.5167094978312682E-3</v>
      </c>
      <c r="D161" s="4">
        <v>3.5167094978312682E-3</v>
      </c>
      <c r="E161" s="4">
        <v>3.5167094978312682E-3</v>
      </c>
      <c r="F161" s="4">
        <v>3.5167094978312682E-3</v>
      </c>
      <c r="G161" s="4">
        <v>3.5167094978312682E-3</v>
      </c>
      <c r="H161" s="4">
        <v>3.5167094978312682E-3</v>
      </c>
      <c r="I161" s="4">
        <v>3.5167094978312682E-3</v>
      </c>
      <c r="J161" s="4">
        <v>3.5167094978312682E-3</v>
      </c>
      <c r="K161" s="4">
        <v>3.5167094978312682E-3</v>
      </c>
      <c r="L161" s="4">
        <v>3.5167094978312682E-3</v>
      </c>
      <c r="M161" s="4">
        <v>3.5167094978312682E-3</v>
      </c>
      <c r="N161" t="s">
        <v>258</v>
      </c>
      <c r="O161" t="s">
        <v>267</v>
      </c>
      <c r="P161" t="s">
        <v>268</v>
      </c>
      <c r="Q161" t="s">
        <v>245</v>
      </c>
    </row>
    <row r="162" spans="1:17" x14ac:dyDescent="0.25">
      <c r="A162" t="s">
        <v>264</v>
      </c>
      <c r="B162" t="s">
        <v>98</v>
      </c>
      <c r="C162" s="4">
        <v>3.5167094978312682E-3</v>
      </c>
      <c r="D162" s="4">
        <v>3.5167094978312682E-3</v>
      </c>
      <c r="E162" s="4">
        <v>3.5167094978312682E-3</v>
      </c>
      <c r="F162" s="4">
        <v>3.5167094978312682E-3</v>
      </c>
      <c r="G162" s="4">
        <v>3.5167094978312682E-3</v>
      </c>
      <c r="H162" s="4">
        <v>3.5167094978312682E-3</v>
      </c>
      <c r="I162" s="4">
        <v>3.5167094978312682E-3</v>
      </c>
      <c r="J162" s="4">
        <v>3.5167094978312682E-3</v>
      </c>
      <c r="K162" s="4">
        <v>3.5167094978312682E-3</v>
      </c>
      <c r="L162" s="4">
        <v>3.5167094978312682E-3</v>
      </c>
      <c r="M162" s="4">
        <v>3.5167094978312682E-3</v>
      </c>
      <c r="N162" t="s">
        <v>258</v>
      </c>
      <c r="O162" t="s">
        <v>263</v>
      </c>
      <c r="P162" t="s">
        <v>264</v>
      </c>
      <c r="Q162" t="s">
        <v>245</v>
      </c>
    </row>
    <row r="163" spans="1:17" x14ac:dyDescent="0.25">
      <c r="A163" t="s">
        <v>800</v>
      </c>
      <c r="B163" t="s">
        <v>98</v>
      </c>
      <c r="C163" s="4">
        <v>3.5167094978312682E-3</v>
      </c>
      <c r="D163" s="4">
        <v>3.5167094978312682E-3</v>
      </c>
      <c r="E163" s="4">
        <v>3.5167094978312682E-3</v>
      </c>
      <c r="F163" s="4">
        <v>3.5167094978312682E-3</v>
      </c>
      <c r="G163" s="4">
        <v>3.5167094978312682E-3</v>
      </c>
      <c r="H163" s="4">
        <v>3.5167094978312682E-3</v>
      </c>
      <c r="I163" s="4">
        <v>3.5167094978312682E-3</v>
      </c>
      <c r="J163" s="4">
        <v>3.5167094978312682E-3</v>
      </c>
      <c r="K163" s="4">
        <v>3.5167094978312682E-3</v>
      </c>
      <c r="L163" s="4">
        <v>3.5167094978312682E-3</v>
      </c>
      <c r="M163" s="4">
        <v>3.5167094978312682E-3</v>
      </c>
      <c r="N163" t="s">
        <v>242</v>
      </c>
      <c r="O163" t="s">
        <v>801</v>
      </c>
      <c r="P163" t="s">
        <v>800</v>
      </c>
      <c r="Q163" t="s">
        <v>245</v>
      </c>
    </row>
    <row r="164" spans="1:17" x14ac:dyDescent="0.25">
      <c r="A164" t="s">
        <v>265</v>
      </c>
      <c r="B164" t="s">
        <v>99</v>
      </c>
      <c r="C164" s="4">
        <v>5.7604342313806838E-3</v>
      </c>
      <c r="D164" s="4">
        <v>5.7604342313806838E-3</v>
      </c>
      <c r="E164" s="4">
        <v>5.7604342313806838E-3</v>
      </c>
      <c r="F164" s="4">
        <v>5.7604342313806838E-3</v>
      </c>
      <c r="G164" s="4">
        <v>5.7604342313806838E-3</v>
      </c>
      <c r="H164" s="4">
        <v>5.7604342313806838E-3</v>
      </c>
      <c r="I164" s="4">
        <v>5.7604342313806838E-3</v>
      </c>
      <c r="J164" s="4">
        <v>5.7604342313806838E-3</v>
      </c>
      <c r="K164" s="4">
        <v>5.7604342313806838E-3</v>
      </c>
      <c r="L164" s="4">
        <v>5.7604342313806838E-3</v>
      </c>
      <c r="M164" s="4">
        <v>5.7604342313806838E-3</v>
      </c>
      <c r="N164" t="s">
        <v>258</v>
      </c>
      <c r="O164" t="s">
        <v>267</v>
      </c>
      <c r="P164" t="s">
        <v>268</v>
      </c>
      <c r="Q164" t="s">
        <v>245</v>
      </c>
    </row>
    <row r="165" spans="1:17" x14ac:dyDescent="0.25">
      <c r="A165" t="s">
        <v>264</v>
      </c>
      <c r="B165" t="s">
        <v>99</v>
      </c>
      <c r="C165" s="4">
        <v>5.7604342313806838E-3</v>
      </c>
      <c r="D165" s="4">
        <v>5.7604342313806838E-3</v>
      </c>
      <c r="E165" s="4">
        <v>5.7604342313806838E-3</v>
      </c>
      <c r="F165" s="4">
        <v>5.7604342313806838E-3</v>
      </c>
      <c r="G165" s="4">
        <v>5.7604342313806838E-3</v>
      </c>
      <c r="H165" s="4">
        <v>5.7604342313806838E-3</v>
      </c>
      <c r="I165" s="4">
        <v>5.7604342313806838E-3</v>
      </c>
      <c r="J165" s="4">
        <v>5.7604342313806838E-3</v>
      </c>
      <c r="K165" s="4">
        <v>5.7604342313806838E-3</v>
      </c>
      <c r="L165" s="4">
        <v>5.7604342313806838E-3</v>
      </c>
      <c r="M165" s="4">
        <v>5.7604342313806838E-3</v>
      </c>
      <c r="N165" t="s">
        <v>258</v>
      </c>
      <c r="O165" t="s">
        <v>263</v>
      </c>
      <c r="P165" t="s">
        <v>264</v>
      </c>
      <c r="Q165" t="s">
        <v>245</v>
      </c>
    </row>
    <row r="166" spans="1:17" x14ac:dyDescent="0.25">
      <c r="A166" t="s">
        <v>800</v>
      </c>
      <c r="B166" t="s">
        <v>99</v>
      </c>
      <c r="C166" s="4">
        <v>5.7604342313806838E-3</v>
      </c>
      <c r="D166" s="4">
        <v>5.7604342313806838E-3</v>
      </c>
      <c r="E166" s="4">
        <v>5.7604342313806838E-3</v>
      </c>
      <c r="F166" s="4">
        <v>5.7604342313806838E-3</v>
      </c>
      <c r="G166" s="4">
        <v>5.7604342313806838E-3</v>
      </c>
      <c r="H166" s="4">
        <v>5.7604342313806838E-3</v>
      </c>
      <c r="I166" s="4">
        <v>5.7604342313806838E-3</v>
      </c>
      <c r="J166" s="4">
        <v>5.7604342313806838E-3</v>
      </c>
      <c r="K166" s="4">
        <v>5.7604342313806838E-3</v>
      </c>
      <c r="L166" s="4">
        <v>5.7604342313806838E-3</v>
      </c>
      <c r="M166" s="4">
        <v>5.7604342313806838E-3</v>
      </c>
      <c r="N166" t="s">
        <v>242</v>
      </c>
      <c r="O166" t="s">
        <v>801</v>
      </c>
      <c r="P166" t="s">
        <v>800</v>
      </c>
      <c r="Q166" t="s">
        <v>245</v>
      </c>
    </row>
    <row r="167" spans="1:17" x14ac:dyDescent="0.25">
      <c r="A167" t="s">
        <v>265</v>
      </c>
      <c r="B167" t="s">
        <v>102</v>
      </c>
      <c r="C167" s="4">
        <v>4.0521232622287382E-3</v>
      </c>
      <c r="D167" s="4">
        <v>4.0521232622287382E-3</v>
      </c>
      <c r="E167" s="4">
        <v>4.0521232622287382E-3</v>
      </c>
      <c r="F167" s="4">
        <v>4.0521232622287382E-3</v>
      </c>
      <c r="G167" s="4">
        <v>4.0521232622287382E-3</v>
      </c>
      <c r="H167" s="4">
        <v>4.0521232622287382E-3</v>
      </c>
      <c r="I167" s="4">
        <v>4.0521232622287382E-3</v>
      </c>
      <c r="J167" s="4">
        <v>4.0521232622287382E-3</v>
      </c>
      <c r="K167" s="4">
        <v>4.0521232622287382E-3</v>
      </c>
      <c r="L167" s="4">
        <v>4.0521232622287382E-3</v>
      </c>
      <c r="M167" s="4">
        <v>4.0521232622287382E-3</v>
      </c>
      <c r="N167" t="s">
        <v>258</v>
      </c>
      <c r="O167" t="s">
        <v>267</v>
      </c>
      <c r="P167" t="s">
        <v>268</v>
      </c>
      <c r="Q167" t="s">
        <v>245</v>
      </c>
    </row>
    <row r="168" spans="1:17" x14ac:dyDescent="0.25">
      <c r="A168" t="s">
        <v>264</v>
      </c>
      <c r="B168" t="s">
        <v>102</v>
      </c>
      <c r="C168" s="4">
        <v>4.0521232622287382E-3</v>
      </c>
      <c r="D168" s="4">
        <v>4.0521232622287382E-3</v>
      </c>
      <c r="E168" s="4">
        <v>4.0521232622287382E-3</v>
      </c>
      <c r="F168" s="4">
        <v>4.0521232622287382E-3</v>
      </c>
      <c r="G168" s="4">
        <v>4.0521232622287382E-3</v>
      </c>
      <c r="H168" s="4">
        <v>4.0521232622287382E-3</v>
      </c>
      <c r="I168" s="4">
        <v>4.0521232622287382E-3</v>
      </c>
      <c r="J168" s="4">
        <v>4.0521232622287382E-3</v>
      </c>
      <c r="K168" s="4">
        <v>4.0521232622287382E-3</v>
      </c>
      <c r="L168" s="4">
        <v>4.0521232622287382E-3</v>
      </c>
      <c r="M168" s="4">
        <v>4.0521232622287382E-3</v>
      </c>
      <c r="N168" t="s">
        <v>258</v>
      </c>
      <c r="O168" t="s">
        <v>263</v>
      </c>
      <c r="P168" t="s">
        <v>264</v>
      </c>
      <c r="Q168" t="s">
        <v>245</v>
      </c>
    </row>
    <row r="169" spans="1:17" x14ac:dyDescent="0.25">
      <c r="A169" t="s">
        <v>800</v>
      </c>
      <c r="B169" t="s">
        <v>102</v>
      </c>
      <c r="C169" s="4">
        <v>4.0521232622287382E-3</v>
      </c>
      <c r="D169" s="4">
        <v>4.0521232622287382E-3</v>
      </c>
      <c r="E169" s="4">
        <v>4.0521232622287382E-3</v>
      </c>
      <c r="F169" s="4">
        <v>4.0521232622287382E-3</v>
      </c>
      <c r="G169" s="4">
        <v>4.0521232622287382E-3</v>
      </c>
      <c r="H169" s="4">
        <v>4.0521232622287382E-3</v>
      </c>
      <c r="I169" s="4">
        <v>4.0521232622287382E-3</v>
      </c>
      <c r="J169" s="4">
        <v>4.0521232622287382E-3</v>
      </c>
      <c r="K169" s="4">
        <v>4.0521232622287382E-3</v>
      </c>
      <c r="L169" s="4">
        <v>4.0521232622287382E-3</v>
      </c>
      <c r="M169" s="4">
        <v>4.0521232622287382E-3</v>
      </c>
      <c r="N169" t="s">
        <v>242</v>
      </c>
      <c r="O169" t="s">
        <v>801</v>
      </c>
      <c r="P169" t="s">
        <v>800</v>
      </c>
      <c r="Q169" t="s">
        <v>245</v>
      </c>
    </row>
    <row r="170" spans="1:17" x14ac:dyDescent="0.25">
      <c r="A170" t="s">
        <v>265</v>
      </c>
      <c r="B170" t="s">
        <v>103</v>
      </c>
      <c r="C170" s="4">
        <v>1.249230434751609E-2</v>
      </c>
      <c r="D170" s="4">
        <v>1.249230434751609E-2</v>
      </c>
      <c r="E170" s="4">
        <v>1.249230434751609E-2</v>
      </c>
      <c r="F170" s="4">
        <v>1.249230434751609E-2</v>
      </c>
      <c r="G170" s="4">
        <v>1.249230434751609E-2</v>
      </c>
      <c r="H170" s="4">
        <v>1.249230434751609E-2</v>
      </c>
      <c r="I170" s="4">
        <v>1.249230434751609E-2</v>
      </c>
      <c r="J170" s="4">
        <v>1.249230434751609E-2</v>
      </c>
      <c r="K170" s="4">
        <v>1.249230434751609E-2</v>
      </c>
      <c r="L170" s="4">
        <v>1.249230434751609E-2</v>
      </c>
      <c r="M170" s="4">
        <v>1.249230434751609E-2</v>
      </c>
      <c r="N170" t="s">
        <v>258</v>
      </c>
      <c r="O170" t="s">
        <v>267</v>
      </c>
      <c r="P170" t="s">
        <v>268</v>
      </c>
      <c r="Q170" t="s">
        <v>245</v>
      </c>
    </row>
    <row r="171" spans="1:17" x14ac:dyDescent="0.25">
      <c r="A171" t="s">
        <v>264</v>
      </c>
      <c r="B171" t="s">
        <v>103</v>
      </c>
      <c r="C171" s="4">
        <v>1.249230434751609E-2</v>
      </c>
      <c r="D171" s="4">
        <v>1.249230434751609E-2</v>
      </c>
      <c r="E171" s="4">
        <v>1.249230434751609E-2</v>
      </c>
      <c r="F171" s="4">
        <v>1.249230434751609E-2</v>
      </c>
      <c r="G171" s="4">
        <v>1.249230434751609E-2</v>
      </c>
      <c r="H171" s="4">
        <v>1.249230434751609E-2</v>
      </c>
      <c r="I171" s="4">
        <v>1.249230434751609E-2</v>
      </c>
      <c r="J171" s="4">
        <v>1.249230434751609E-2</v>
      </c>
      <c r="K171" s="4">
        <v>1.249230434751609E-2</v>
      </c>
      <c r="L171" s="4">
        <v>1.249230434751609E-2</v>
      </c>
      <c r="M171" s="4">
        <v>1.249230434751609E-2</v>
      </c>
      <c r="N171" t="s">
        <v>258</v>
      </c>
      <c r="O171" t="s">
        <v>263</v>
      </c>
      <c r="P171" t="s">
        <v>264</v>
      </c>
      <c r="Q171" t="s">
        <v>245</v>
      </c>
    </row>
    <row r="172" spans="1:17" x14ac:dyDescent="0.25">
      <c r="A172" t="s">
        <v>800</v>
      </c>
      <c r="B172" t="s">
        <v>103</v>
      </c>
      <c r="C172" s="4">
        <v>1.249230434751609E-2</v>
      </c>
      <c r="D172" s="4">
        <v>1.249230434751609E-2</v>
      </c>
      <c r="E172" s="4">
        <v>1.249230434751609E-2</v>
      </c>
      <c r="F172" s="4">
        <v>1.249230434751609E-2</v>
      </c>
      <c r="G172" s="4">
        <v>1.249230434751609E-2</v>
      </c>
      <c r="H172" s="4">
        <v>1.249230434751609E-2</v>
      </c>
      <c r="I172" s="4">
        <v>1.249230434751609E-2</v>
      </c>
      <c r="J172" s="4">
        <v>1.249230434751609E-2</v>
      </c>
      <c r="K172" s="4">
        <v>1.249230434751609E-2</v>
      </c>
      <c r="L172" s="4">
        <v>1.249230434751609E-2</v>
      </c>
      <c r="M172" s="4">
        <v>1.249230434751609E-2</v>
      </c>
      <c r="N172" t="s">
        <v>242</v>
      </c>
      <c r="O172" t="s">
        <v>801</v>
      </c>
      <c r="P172" t="s">
        <v>800</v>
      </c>
      <c r="Q172" t="s">
        <v>245</v>
      </c>
    </row>
    <row r="173" spans="1:17" x14ac:dyDescent="0.25">
      <c r="A173" t="s">
        <v>265</v>
      </c>
      <c r="B173" t="s">
        <v>104</v>
      </c>
      <c r="C173" s="4">
        <v>6.1664947046035257E-4</v>
      </c>
      <c r="D173" s="4">
        <v>6.1664947046035257E-4</v>
      </c>
      <c r="E173" s="4">
        <v>6.1664947046035257E-4</v>
      </c>
      <c r="F173" s="4">
        <v>6.1664947046035257E-4</v>
      </c>
      <c r="G173" s="4">
        <v>6.1664947046035257E-4</v>
      </c>
      <c r="H173" s="4">
        <v>6.1664947046035257E-4</v>
      </c>
      <c r="I173" s="4">
        <v>6.1664947046035257E-4</v>
      </c>
      <c r="J173" s="4">
        <v>6.1664947046035257E-4</v>
      </c>
      <c r="K173" s="4">
        <v>6.1664947046035257E-4</v>
      </c>
      <c r="L173" s="4">
        <v>6.1664947046035257E-4</v>
      </c>
      <c r="M173" s="4">
        <v>6.1664947046035257E-4</v>
      </c>
      <c r="N173" t="s">
        <v>251</v>
      </c>
      <c r="O173" t="s">
        <v>267</v>
      </c>
      <c r="P173" t="s">
        <v>268</v>
      </c>
      <c r="Q173" t="s">
        <v>245</v>
      </c>
    </row>
    <row r="174" spans="1:17" x14ac:dyDescent="0.25">
      <c r="A174" t="s">
        <v>264</v>
      </c>
      <c r="B174" t="s">
        <v>104</v>
      </c>
      <c r="C174" s="4">
        <v>6.1664947046035257E-4</v>
      </c>
      <c r="D174" s="4">
        <v>6.1664947046035257E-4</v>
      </c>
      <c r="E174" s="4">
        <v>6.1664947046035257E-4</v>
      </c>
      <c r="F174" s="4">
        <v>6.1664947046035257E-4</v>
      </c>
      <c r="G174" s="4">
        <v>6.1664947046035257E-4</v>
      </c>
      <c r="H174" s="4">
        <v>6.1664947046035257E-4</v>
      </c>
      <c r="I174" s="4">
        <v>6.1664947046035257E-4</v>
      </c>
      <c r="J174" s="4">
        <v>6.1664947046035257E-4</v>
      </c>
      <c r="K174" s="4">
        <v>6.1664947046035257E-4</v>
      </c>
      <c r="L174" s="4">
        <v>6.1664947046035257E-4</v>
      </c>
      <c r="M174" s="4">
        <v>6.1664947046035257E-4</v>
      </c>
      <c r="N174" t="s">
        <v>251</v>
      </c>
      <c r="O174" t="s">
        <v>263</v>
      </c>
      <c r="P174" t="s">
        <v>264</v>
      </c>
      <c r="Q174" t="s">
        <v>245</v>
      </c>
    </row>
    <row r="175" spans="1:17" x14ac:dyDescent="0.25">
      <c r="A175" t="s">
        <v>800</v>
      </c>
      <c r="B175" t="s">
        <v>104</v>
      </c>
      <c r="C175" s="4">
        <v>6.1664947046035257E-4</v>
      </c>
      <c r="D175" s="4">
        <v>6.1664947046035257E-4</v>
      </c>
      <c r="E175" s="4">
        <v>6.1664947046035257E-4</v>
      </c>
      <c r="F175" s="4">
        <v>6.1664947046035257E-4</v>
      </c>
      <c r="G175" s="4">
        <v>6.1664947046035257E-4</v>
      </c>
      <c r="H175" s="4">
        <v>6.1664947046035257E-4</v>
      </c>
      <c r="I175" s="4">
        <v>6.1664947046035257E-4</v>
      </c>
      <c r="J175" s="4">
        <v>6.1664947046035257E-4</v>
      </c>
      <c r="K175" s="4">
        <v>6.1664947046035257E-4</v>
      </c>
      <c r="L175" s="4">
        <v>6.1664947046035257E-4</v>
      </c>
      <c r="M175" s="4">
        <v>6.1664947046035257E-4</v>
      </c>
      <c r="N175" t="s">
        <v>242</v>
      </c>
      <c r="O175" t="s">
        <v>801</v>
      </c>
      <c r="P175" t="s">
        <v>800</v>
      </c>
      <c r="Q175" t="s">
        <v>245</v>
      </c>
    </row>
    <row r="176" spans="1:17" x14ac:dyDescent="0.25">
      <c r="A176" t="s">
        <v>265</v>
      </c>
      <c r="B176" t="s">
        <v>105</v>
      </c>
      <c r="C176" s="4">
        <v>8.8519735409825027E-3</v>
      </c>
      <c r="D176" s="4">
        <v>8.8519735409825027E-3</v>
      </c>
      <c r="E176" s="4">
        <v>8.8519735409825027E-3</v>
      </c>
      <c r="F176" s="4">
        <v>8.8519735409825027E-3</v>
      </c>
      <c r="G176" s="4">
        <v>8.8519735409825027E-3</v>
      </c>
      <c r="H176" s="4">
        <v>8.8519735409825027E-3</v>
      </c>
      <c r="I176" s="4">
        <v>8.8519735409825027E-3</v>
      </c>
      <c r="J176" s="4">
        <v>8.8519735409825027E-3</v>
      </c>
      <c r="K176" s="4">
        <v>8.8519735409825027E-3</v>
      </c>
      <c r="L176" s="4">
        <v>8.8519735409825027E-3</v>
      </c>
      <c r="M176" s="4">
        <v>8.8519735409825027E-3</v>
      </c>
      <c r="N176" t="s">
        <v>271</v>
      </c>
      <c r="O176" t="s">
        <v>267</v>
      </c>
      <c r="P176" t="s">
        <v>268</v>
      </c>
      <c r="Q176" t="s">
        <v>245</v>
      </c>
    </row>
    <row r="177" spans="1:17" x14ac:dyDescent="0.25">
      <c r="A177" t="s">
        <v>264</v>
      </c>
      <c r="B177" t="s">
        <v>105</v>
      </c>
      <c r="C177" s="4">
        <v>8.8519735409825027E-3</v>
      </c>
      <c r="D177" s="4">
        <v>8.8519735409825027E-3</v>
      </c>
      <c r="E177" s="4">
        <v>8.8519735409825027E-3</v>
      </c>
      <c r="F177" s="4">
        <v>8.8519735409825027E-3</v>
      </c>
      <c r="G177" s="4">
        <v>8.8519735409825027E-3</v>
      </c>
      <c r="H177" s="4">
        <v>8.8519735409825027E-3</v>
      </c>
      <c r="I177" s="4">
        <v>8.8519735409825027E-3</v>
      </c>
      <c r="J177" s="4">
        <v>8.8519735409825027E-3</v>
      </c>
      <c r="K177" s="4">
        <v>8.8519735409825027E-3</v>
      </c>
      <c r="L177" s="4">
        <v>8.8519735409825027E-3</v>
      </c>
      <c r="M177" s="4">
        <v>8.8519735409825027E-3</v>
      </c>
      <c r="N177" t="s">
        <v>271</v>
      </c>
      <c r="O177" t="s">
        <v>263</v>
      </c>
      <c r="P177" t="s">
        <v>264</v>
      </c>
      <c r="Q177" t="s">
        <v>245</v>
      </c>
    </row>
    <row r="178" spans="1:17" x14ac:dyDescent="0.25">
      <c r="A178" t="s">
        <v>800</v>
      </c>
      <c r="B178" t="s">
        <v>105</v>
      </c>
      <c r="C178" s="4">
        <v>8.8519735409825027E-3</v>
      </c>
      <c r="D178" s="4">
        <v>8.8519735409825027E-3</v>
      </c>
      <c r="E178" s="4">
        <v>8.8519735409825027E-3</v>
      </c>
      <c r="F178" s="4">
        <v>8.8519735409825027E-3</v>
      </c>
      <c r="G178" s="4">
        <v>8.8519735409825027E-3</v>
      </c>
      <c r="H178" s="4">
        <v>8.8519735409825027E-3</v>
      </c>
      <c r="I178" s="4">
        <v>8.8519735409825027E-3</v>
      </c>
      <c r="J178" s="4">
        <v>8.8519735409825027E-3</v>
      </c>
      <c r="K178" s="4">
        <v>8.8519735409825027E-3</v>
      </c>
      <c r="L178" s="4">
        <v>8.8519735409825027E-3</v>
      </c>
      <c r="M178" s="4">
        <v>8.8519735409825027E-3</v>
      </c>
      <c r="N178" t="s">
        <v>242</v>
      </c>
      <c r="O178" t="s">
        <v>801</v>
      </c>
      <c r="P178" t="s">
        <v>800</v>
      </c>
      <c r="Q178" t="s">
        <v>245</v>
      </c>
    </row>
    <row r="179" spans="1:17" x14ac:dyDescent="0.25">
      <c r="A179" t="s">
        <v>265</v>
      </c>
      <c r="B179" t="s">
        <v>130</v>
      </c>
      <c r="C179" s="4">
        <v>8.3571993769754468E-4</v>
      </c>
      <c r="D179" s="4">
        <v>8.3571993769754468E-4</v>
      </c>
      <c r="E179" s="4">
        <v>8.3571993769754468E-4</v>
      </c>
      <c r="F179" s="4">
        <v>8.3571993769754468E-4</v>
      </c>
      <c r="G179" s="4">
        <v>8.3571993769754468E-4</v>
      </c>
      <c r="H179" s="4">
        <v>8.3571993769754468E-4</v>
      </c>
      <c r="I179" s="4">
        <v>8.3571993769754468E-4</v>
      </c>
      <c r="J179" s="4">
        <v>8.3571993769754468E-4</v>
      </c>
      <c r="K179" s="4">
        <v>8.3571993769754468E-4</v>
      </c>
      <c r="L179" s="4">
        <v>8.3571993769754468E-4</v>
      </c>
      <c r="M179" s="4">
        <v>8.3571993769754468E-4</v>
      </c>
      <c r="N179" t="s">
        <v>255</v>
      </c>
      <c r="O179" t="s">
        <v>267</v>
      </c>
      <c r="P179" t="s">
        <v>268</v>
      </c>
      <c r="Q179" t="s">
        <v>245</v>
      </c>
    </row>
    <row r="180" spans="1:17" x14ac:dyDescent="0.25">
      <c r="A180" t="s">
        <v>264</v>
      </c>
      <c r="B180" t="s">
        <v>130</v>
      </c>
      <c r="C180" s="4">
        <v>8.3571993769754468E-4</v>
      </c>
      <c r="D180" s="4">
        <v>8.3571993769754468E-4</v>
      </c>
      <c r="E180" s="4">
        <v>8.3571993769754468E-4</v>
      </c>
      <c r="F180" s="4">
        <v>8.3571993769754468E-4</v>
      </c>
      <c r="G180" s="4">
        <v>8.3571993769754468E-4</v>
      </c>
      <c r="H180" s="4">
        <v>8.3571993769754468E-4</v>
      </c>
      <c r="I180" s="4">
        <v>8.3571993769754468E-4</v>
      </c>
      <c r="J180" s="4">
        <v>8.3571993769754468E-4</v>
      </c>
      <c r="K180" s="4">
        <v>8.3571993769754468E-4</v>
      </c>
      <c r="L180" s="4">
        <v>8.3571993769754468E-4</v>
      </c>
      <c r="M180" s="4">
        <v>8.3571993769754468E-4</v>
      </c>
      <c r="N180" t="s">
        <v>255</v>
      </c>
      <c r="O180" t="s">
        <v>263</v>
      </c>
      <c r="P180" t="s">
        <v>264</v>
      </c>
      <c r="Q180" t="s">
        <v>245</v>
      </c>
    </row>
    <row r="181" spans="1:17" x14ac:dyDescent="0.25">
      <c r="A181" t="s">
        <v>800</v>
      </c>
      <c r="B181" t="s">
        <v>130</v>
      </c>
      <c r="C181" s="4">
        <v>8.3571993769754468E-4</v>
      </c>
      <c r="D181" s="4">
        <v>8.3571993769754468E-4</v>
      </c>
      <c r="E181" s="4">
        <v>8.3571993769754468E-4</v>
      </c>
      <c r="F181" s="4">
        <v>8.3571993769754468E-4</v>
      </c>
      <c r="G181" s="4">
        <v>8.3571993769754468E-4</v>
      </c>
      <c r="H181" s="4">
        <v>8.3571993769754468E-4</v>
      </c>
      <c r="I181" s="4">
        <v>8.3571993769754468E-4</v>
      </c>
      <c r="J181" s="4">
        <v>8.3571993769754468E-4</v>
      </c>
      <c r="K181" s="4">
        <v>8.3571993769754468E-4</v>
      </c>
      <c r="L181" s="4">
        <v>8.3571993769754468E-4</v>
      </c>
      <c r="M181" s="4">
        <v>8.3571993769754468E-4</v>
      </c>
      <c r="N181" t="s">
        <v>242</v>
      </c>
      <c r="O181" t="s">
        <v>801</v>
      </c>
      <c r="P181" t="s">
        <v>800</v>
      </c>
      <c r="Q181" t="s">
        <v>245</v>
      </c>
    </row>
    <row r="182" spans="1:17" x14ac:dyDescent="0.25">
      <c r="A182" t="s">
        <v>265</v>
      </c>
      <c r="B182" t="s">
        <v>131</v>
      </c>
      <c r="C182" s="4">
        <v>5.2781585852522796E-3</v>
      </c>
      <c r="D182" s="4">
        <v>5.2781585852522796E-3</v>
      </c>
      <c r="E182" s="4">
        <v>5.2781585852522796E-3</v>
      </c>
      <c r="F182" s="4">
        <v>5.2781585852522796E-3</v>
      </c>
      <c r="G182" s="4">
        <v>5.2781585852522796E-3</v>
      </c>
      <c r="H182" s="4">
        <v>5.2781585852522796E-3</v>
      </c>
      <c r="I182" s="4">
        <v>5.2781585852522796E-3</v>
      </c>
      <c r="J182" s="4">
        <v>5.2781585852522796E-3</v>
      </c>
      <c r="K182" s="4">
        <v>5.2781585852522796E-3</v>
      </c>
      <c r="L182" s="4">
        <v>5.2781585852522796E-3</v>
      </c>
      <c r="M182" s="4">
        <v>5.2781585852522796E-3</v>
      </c>
      <c r="N182" t="s">
        <v>248</v>
      </c>
      <c r="O182" t="s">
        <v>267</v>
      </c>
      <c r="P182" t="s">
        <v>268</v>
      </c>
      <c r="Q182" t="s">
        <v>245</v>
      </c>
    </row>
    <row r="183" spans="1:17" x14ac:dyDescent="0.25">
      <c r="A183" t="s">
        <v>264</v>
      </c>
      <c r="B183" t="s">
        <v>131</v>
      </c>
      <c r="C183" s="4">
        <v>5.2781585852522796E-3</v>
      </c>
      <c r="D183" s="4">
        <v>5.2781585852522796E-3</v>
      </c>
      <c r="E183" s="4">
        <v>5.2781585852522796E-3</v>
      </c>
      <c r="F183" s="4">
        <v>5.2781585852522796E-3</v>
      </c>
      <c r="G183" s="4">
        <v>5.2781585852522796E-3</v>
      </c>
      <c r="H183" s="4">
        <v>5.2781585852522796E-3</v>
      </c>
      <c r="I183" s="4">
        <v>5.2781585852522796E-3</v>
      </c>
      <c r="J183" s="4">
        <v>5.2781585852522796E-3</v>
      </c>
      <c r="K183" s="4">
        <v>5.2781585852522796E-3</v>
      </c>
      <c r="L183" s="4">
        <v>5.2781585852522796E-3</v>
      </c>
      <c r="M183" s="4">
        <v>5.2781585852522796E-3</v>
      </c>
      <c r="N183" t="s">
        <v>248</v>
      </c>
      <c r="O183" t="s">
        <v>263</v>
      </c>
      <c r="P183" t="s">
        <v>264</v>
      </c>
      <c r="Q183" t="s">
        <v>245</v>
      </c>
    </row>
    <row r="184" spans="1:17" x14ac:dyDescent="0.25">
      <c r="A184" t="s">
        <v>800</v>
      </c>
      <c r="B184" t="s">
        <v>131</v>
      </c>
      <c r="C184" s="4">
        <v>5.2781585852522796E-3</v>
      </c>
      <c r="D184" s="4">
        <v>5.2781585852522796E-3</v>
      </c>
      <c r="E184" s="4">
        <v>5.2781585852522796E-3</v>
      </c>
      <c r="F184" s="4">
        <v>5.2781585852522796E-3</v>
      </c>
      <c r="G184" s="4">
        <v>5.2781585852522796E-3</v>
      </c>
      <c r="H184" s="4">
        <v>5.2781585852522796E-3</v>
      </c>
      <c r="I184" s="4">
        <v>5.2781585852522796E-3</v>
      </c>
      <c r="J184" s="4">
        <v>5.2781585852522796E-3</v>
      </c>
      <c r="K184" s="4">
        <v>5.2781585852522796E-3</v>
      </c>
      <c r="L184" s="4">
        <v>5.2781585852522796E-3</v>
      </c>
      <c r="M184" s="4">
        <v>5.2781585852522796E-3</v>
      </c>
      <c r="N184" t="s">
        <v>242</v>
      </c>
      <c r="O184" t="s">
        <v>801</v>
      </c>
      <c r="P184" t="s">
        <v>800</v>
      </c>
      <c r="Q184" t="s">
        <v>245</v>
      </c>
    </row>
    <row r="185" spans="1:17" x14ac:dyDescent="0.25">
      <c r="A185" t="s">
        <v>265</v>
      </c>
      <c r="B185" t="s">
        <v>132</v>
      </c>
      <c r="C185" s="4">
        <v>2.0569894823403139E-2</v>
      </c>
      <c r="D185" s="4">
        <v>2.0569894823403139E-2</v>
      </c>
      <c r="E185" s="4">
        <v>2.0569894823403139E-2</v>
      </c>
      <c r="F185" s="4">
        <v>2.0569894823403139E-2</v>
      </c>
      <c r="G185" s="4">
        <v>2.0569894823403139E-2</v>
      </c>
      <c r="H185" s="4">
        <v>2.0569894823403139E-2</v>
      </c>
      <c r="I185" s="4">
        <v>2.0569894823403139E-2</v>
      </c>
      <c r="J185" s="4">
        <v>2.0569894823403139E-2</v>
      </c>
      <c r="K185" s="4">
        <v>2.0569894823403139E-2</v>
      </c>
      <c r="L185" s="4">
        <v>2.0569894823403139E-2</v>
      </c>
      <c r="M185" s="4">
        <v>2.0569894823403139E-2</v>
      </c>
      <c r="N185" t="s">
        <v>255</v>
      </c>
      <c r="O185" t="s">
        <v>267</v>
      </c>
      <c r="P185" t="s">
        <v>268</v>
      </c>
      <c r="Q185" t="s">
        <v>245</v>
      </c>
    </row>
    <row r="186" spans="1:17" x14ac:dyDescent="0.25">
      <c r="A186" t="s">
        <v>264</v>
      </c>
      <c r="B186" t="s">
        <v>132</v>
      </c>
      <c r="C186" s="4">
        <v>2.0569894823403139E-2</v>
      </c>
      <c r="D186" s="4">
        <v>2.0569894823403139E-2</v>
      </c>
      <c r="E186" s="4">
        <v>2.0569894823403139E-2</v>
      </c>
      <c r="F186" s="4">
        <v>2.0569894823403139E-2</v>
      </c>
      <c r="G186" s="4">
        <v>2.0569894823403139E-2</v>
      </c>
      <c r="H186" s="4">
        <v>2.0569894823403139E-2</v>
      </c>
      <c r="I186" s="4">
        <v>2.0569894823403139E-2</v>
      </c>
      <c r="J186" s="4">
        <v>2.0569894823403139E-2</v>
      </c>
      <c r="K186" s="4">
        <v>2.0569894823403139E-2</v>
      </c>
      <c r="L186" s="4">
        <v>2.0569894823403139E-2</v>
      </c>
      <c r="M186" s="4">
        <v>2.0569894823403139E-2</v>
      </c>
      <c r="N186" t="s">
        <v>255</v>
      </c>
      <c r="O186" t="s">
        <v>263</v>
      </c>
      <c r="P186" t="s">
        <v>264</v>
      </c>
      <c r="Q186" t="s">
        <v>245</v>
      </c>
    </row>
    <row r="187" spans="1:17" x14ac:dyDescent="0.25">
      <c r="A187" t="s">
        <v>800</v>
      </c>
      <c r="B187" t="s">
        <v>132</v>
      </c>
      <c r="C187" s="4">
        <v>2.0569894823403139E-2</v>
      </c>
      <c r="D187" s="4">
        <v>2.0569894823403139E-2</v>
      </c>
      <c r="E187" s="4">
        <v>2.0569894823403139E-2</v>
      </c>
      <c r="F187" s="4">
        <v>2.0569894823403139E-2</v>
      </c>
      <c r="G187" s="4">
        <v>2.0569894823403139E-2</v>
      </c>
      <c r="H187" s="4">
        <v>2.0569894823403139E-2</v>
      </c>
      <c r="I187" s="4">
        <v>2.0569894823403139E-2</v>
      </c>
      <c r="J187" s="4">
        <v>2.0569894823403139E-2</v>
      </c>
      <c r="K187" s="4">
        <v>2.0569894823403139E-2</v>
      </c>
      <c r="L187" s="4">
        <v>2.0569894823403139E-2</v>
      </c>
      <c r="M187" s="4">
        <v>2.0569894823403139E-2</v>
      </c>
      <c r="N187" t="s">
        <v>242</v>
      </c>
      <c r="O187" t="s">
        <v>801</v>
      </c>
      <c r="P187" t="s">
        <v>800</v>
      </c>
      <c r="Q187" t="s">
        <v>245</v>
      </c>
    </row>
    <row r="188" spans="1:17" x14ac:dyDescent="0.25">
      <c r="A188" t="s">
        <v>265</v>
      </c>
      <c r="B188" t="s">
        <v>133</v>
      </c>
      <c r="C188" s="4">
        <v>5.6418862708503383E-3</v>
      </c>
      <c r="D188" s="4">
        <v>5.6418862708503383E-3</v>
      </c>
      <c r="E188" s="4">
        <v>5.6418862708503383E-3</v>
      </c>
      <c r="F188" s="4">
        <v>5.6418862708503383E-3</v>
      </c>
      <c r="G188" s="4">
        <v>5.6418862708503383E-3</v>
      </c>
      <c r="H188" s="4">
        <v>5.6418862708503383E-3</v>
      </c>
      <c r="I188" s="4">
        <v>5.6418862708503383E-3</v>
      </c>
      <c r="J188" s="4">
        <v>5.6418862708503383E-3</v>
      </c>
      <c r="K188" s="4">
        <v>5.6418862708503383E-3</v>
      </c>
      <c r="L188" s="4">
        <v>5.6418862708503383E-3</v>
      </c>
      <c r="M188" s="4">
        <v>5.6418862708503383E-3</v>
      </c>
      <c r="N188" t="s">
        <v>269</v>
      </c>
      <c r="O188" t="s">
        <v>267</v>
      </c>
      <c r="P188" t="s">
        <v>268</v>
      </c>
      <c r="Q188" t="s">
        <v>245</v>
      </c>
    </row>
    <row r="189" spans="1:17" x14ac:dyDescent="0.25">
      <c r="A189" t="s">
        <v>264</v>
      </c>
      <c r="B189" t="s">
        <v>133</v>
      </c>
      <c r="C189" s="4">
        <v>5.6418862708503383E-3</v>
      </c>
      <c r="D189" s="4">
        <v>5.6418862708503383E-3</v>
      </c>
      <c r="E189" s="4">
        <v>5.6418862708503383E-3</v>
      </c>
      <c r="F189" s="4">
        <v>5.6418862708503383E-3</v>
      </c>
      <c r="G189" s="4">
        <v>5.6418862708503383E-3</v>
      </c>
      <c r="H189" s="4">
        <v>5.6418862708503383E-3</v>
      </c>
      <c r="I189" s="4">
        <v>5.6418862708503383E-3</v>
      </c>
      <c r="J189" s="4">
        <v>5.6418862708503383E-3</v>
      </c>
      <c r="K189" s="4">
        <v>5.6418862708503383E-3</v>
      </c>
      <c r="L189" s="4">
        <v>5.6418862708503383E-3</v>
      </c>
      <c r="M189" s="4">
        <v>5.6418862708503383E-3</v>
      </c>
      <c r="N189" t="s">
        <v>269</v>
      </c>
      <c r="O189" t="s">
        <v>263</v>
      </c>
      <c r="P189" t="s">
        <v>264</v>
      </c>
      <c r="Q189" t="s">
        <v>245</v>
      </c>
    </row>
    <row r="190" spans="1:17" x14ac:dyDescent="0.25">
      <c r="A190" t="s">
        <v>800</v>
      </c>
      <c r="B190" t="s">
        <v>133</v>
      </c>
      <c r="C190" s="4">
        <v>5.6418862708503383E-3</v>
      </c>
      <c r="D190" s="4">
        <v>5.6418862708503383E-3</v>
      </c>
      <c r="E190" s="4">
        <v>5.6418862708503383E-3</v>
      </c>
      <c r="F190" s="4">
        <v>5.6418862708503383E-3</v>
      </c>
      <c r="G190" s="4">
        <v>5.6418862708503383E-3</v>
      </c>
      <c r="H190" s="4">
        <v>5.6418862708503383E-3</v>
      </c>
      <c r="I190" s="4">
        <v>5.6418862708503383E-3</v>
      </c>
      <c r="J190" s="4">
        <v>5.6418862708503383E-3</v>
      </c>
      <c r="K190" s="4">
        <v>5.6418862708503383E-3</v>
      </c>
      <c r="L190" s="4">
        <v>5.6418862708503383E-3</v>
      </c>
      <c r="M190" s="4">
        <v>5.6418862708503383E-3</v>
      </c>
      <c r="N190" t="s">
        <v>242</v>
      </c>
      <c r="O190" t="s">
        <v>801</v>
      </c>
      <c r="P190" t="s">
        <v>800</v>
      </c>
      <c r="Q190" t="s">
        <v>245</v>
      </c>
    </row>
    <row r="191" spans="1:17" x14ac:dyDescent="0.25">
      <c r="A191" t="s">
        <v>265</v>
      </c>
      <c r="B191" t="s">
        <v>134</v>
      </c>
      <c r="C191" s="4">
        <v>1.0053493376911729E-2</v>
      </c>
      <c r="D191" s="4">
        <v>1.0053493376911729E-2</v>
      </c>
      <c r="E191" s="4">
        <v>1.0053493376911729E-2</v>
      </c>
      <c r="F191" s="4">
        <v>1.0053493376911729E-2</v>
      </c>
      <c r="G191" s="4">
        <v>1.0053493376911729E-2</v>
      </c>
      <c r="H191" s="4">
        <v>1.0053493376911729E-2</v>
      </c>
      <c r="I191" s="4">
        <v>1.0053493376911729E-2</v>
      </c>
      <c r="J191" s="4">
        <v>1.0053493376911729E-2</v>
      </c>
      <c r="K191" s="4">
        <v>1.0053493376911729E-2</v>
      </c>
      <c r="L191" s="4">
        <v>1.0053493376911729E-2</v>
      </c>
      <c r="M191" s="4">
        <v>1.0053493376911729E-2</v>
      </c>
      <c r="N191" t="s">
        <v>269</v>
      </c>
      <c r="O191" t="s">
        <v>267</v>
      </c>
      <c r="P191" t="s">
        <v>268</v>
      </c>
      <c r="Q191" t="s">
        <v>245</v>
      </c>
    </row>
    <row r="192" spans="1:17" x14ac:dyDescent="0.25">
      <c r="A192" t="s">
        <v>264</v>
      </c>
      <c r="B192" t="s">
        <v>134</v>
      </c>
      <c r="C192" s="4">
        <v>1.0053493376911729E-2</v>
      </c>
      <c r="D192" s="4">
        <v>1.0053493376911729E-2</v>
      </c>
      <c r="E192" s="4">
        <v>1.0053493376911729E-2</v>
      </c>
      <c r="F192" s="4">
        <v>1.0053493376911729E-2</v>
      </c>
      <c r="G192" s="4">
        <v>1.0053493376911729E-2</v>
      </c>
      <c r="H192" s="4">
        <v>1.0053493376911729E-2</v>
      </c>
      <c r="I192" s="4">
        <v>1.0053493376911729E-2</v>
      </c>
      <c r="J192" s="4">
        <v>1.0053493376911729E-2</v>
      </c>
      <c r="K192" s="4">
        <v>1.0053493376911729E-2</v>
      </c>
      <c r="L192" s="4">
        <v>1.0053493376911729E-2</v>
      </c>
      <c r="M192" s="4">
        <v>1.0053493376911729E-2</v>
      </c>
      <c r="N192" t="s">
        <v>269</v>
      </c>
      <c r="O192" t="s">
        <v>263</v>
      </c>
      <c r="P192" t="s">
        <v>264</v>
      </c>
      <c r="Q192" t="s">
        <v>245</v>
      </c>
    </row>
    <row r="193" spans="1:17" x14ac:dyDescent="0.25">
      <c r="A193" t="s">
        <v>800</v>
      </c>
      <c r="B193" t="s">
        <v>134</v>
      </c>
      <c r="C193" s="4">
        <v>1.0053493376911729E-2</v>
      </c>
      <c r="D193" s="4">
        <v>1.0053493376911729E-2</v>
      </c>
      <c r="E193" s="4">
        <v>1.0053493376911729E-2</v>
      </c>
      <c r="F193" s="4">
        <v>1.0053493376911729E-2</v>
      </c>
      <c r="G193" s="4">
        <v>1.0053493376911729E-2</v>
      </c>
      <c r="H193" s="4">
        <v>1.0053493376911729E-2</v>
      </c>
      <c r="I193" s="4">
        <v>1.0053493376911729E-2</v>
      </c>
      <c r="J193" s="4">
        <v>1.0053493376911729E-2</v>
      </c>
      <c r="K193" s="4">
        <v>1.0053493376911729E-2</v>
      </c>
      <c r="L193" s="4">
        <v>1.0053493376911729E-2</v>
      </c>
      <c r="M193" s="4">
        <v>1.0053493376911729E-2</v>
      </c>
      <c r="N193" t="s">
        <v>242</v>
      </c>
      <c r="O193" t="s">
        <v>801</v>
      </c>
      <c r="P193" t="s">
        <v>800</v>
      </c>
      <c r="Q193" t="s">
        <v>245</v>
      </c>
    </row>
    <row r="194" spans="1:17" x14ac:dyDescent="0.25">
      <c r="A194" t="s">
        <v>265</v>
      </c>
      <c r="B194" t="s">
        <v>120</v>
      </c>
      <c r="C194" s="4">
        <v>4.3802784820772172E-3</v>
      </c>
      <c r="D194" s="4">
        <v>4.3802784820772172E-3</v>
      </c>
      <c r="E194" s="4">
        <v>4.3802784820772172E-3</v>
      </c>
      <c r="F194" s="4">
        <v>4.3802784820772172E-3</v>
      </c>
      <c r="G194" s="4">
        <v>4.3802784820772172E-3</v>
      </c>
      <c r="H194" s="4">
        <v>4.3802784820772172E-3</v>
      </c>
      <c r="I194" s="4">
        <v>4.3802784820772172E-3</v>
      </c>
      <c r="J194" s="4">
        <v>4.3802784820772172E-3</v>
      </c>
      <c r="K194" s="4">
        <v>4.3802784820772172E-3</v>
      </c>
      <c r="L194" s="4">
        <v>4.3802784820772172E-3</v>
      </c>
      <c r="M194" s="4">
        <v>4.3802784820772172E-3</v>
      </c>
      <c r="N194" t="s">
        <v>255</v>
      </c>
      <c r="O194" t="s">
        <v>267</v>
      </c>
      <c r="P194" t="s">
        <v>268</v>
      </c>
      <c r="Q194" t="s">
        <v>245</v>
      </c>
    </row>
    <row r="195" spans="1:17" x14ac:dyDescent="0.25">
      <c r="A195" t="s">
        <v>264</v>
      </c>
      <c r="B195" t="s">
        <v>120</v>
      </c>
      <c r="C195" s="4">
        <v>4.3802784820772172E-3</v>
      </c>
      <c r="D195" s="4">
        <v>4.3802784820772172E-3</v>
      </c>
      <c r="E195" s="4">
        <v>4.3802784820772172E-3</v>
      </c>
      <c r="F195" s="4">
        <v>4.3802784820772172E-3</v>
      </c>
      <c r="G195" s="4">
        <v>4.3802784820772172E-3</v>
      </c>
      <c r="H195" s="4">
        <v>4.3802784820772172E-3</v>
      </c>
      <c r="I195" s="4">
        <v>4.3802784820772172E-3</v>
      </c>
      <c r="J195" s="4">
        <v>4.3802784820772172E-3</v>
      </c>
      <c r="K195" s="4">
        <v>4.3802784820772172E-3</v>
      </c>
      <c r="L195" s="4">
        <v>4.3802784820772172E-3</v>
      </c>
      <c r="M195" s="4">
        <v>4.3802784820772172E-3</v>
      </c>
      <c r="N195" t="s">
        <v>255</v>
      </c>
      <c r="O195" t="s">
        <v>263</v>
      </c>
      <c r="P195" t="s">
        <v>264</v>
      </c>
      <c r="Q195" t="s">
        <v>245</v>
      </c>
    </row>
    <row r="196" spans="1:17" x14ac:dyDescent="0.25">
      <c r="A196" t="s">
        <v>800</v>
      </c>
      <c r="B196" t="s">
        <v>120</v>
      </c>
      <c r="C196" s="4">
        <v>4.3802784820772172E-3</v>
      </c>
      <c r="D196" s="4">
        <v>4.3802784820772172E-3</v>
      </c>
      <c r="E196" s="4">
        <v>4.3802784820772172E-3</v>
      </c>
      <c r="F196" s="4">
        <v>4.3802784820772172E-3</v>
      </c>
      <c r="G196" s="4">
        <v>4.3802784820772172E-3</v>
      </c>
      <c r="H196" s="4">
        <v>4.3802784820772172E-3</v>
      </c>
      <c r="I196" s="4">
        <v>4.3802784820772172E-3</v>
      </c>
      <c r="J196" s="4">
        <v>4.3802784820772172E-3</v>
      </c>
      <c r="K196" s="4">
        <v>4.3802784820772172E-3</v>
      </c>
      <c r="L196" s="4">
        <v>4.3802784820772172E-3</v>
      </c>
      <c r="M196" s="4">
        <v>4.3802784820772172E-3</v>
      </c>
      <c r="N196" t="s">
        <v>242</v>
      </c>
      <c r="O196" t="s">
        <v>801</v>
      </c>
      <c r="P196" t="s">
        <v>800</v>
      </c>
      <c r="Q196" t="s">
        <v>245</v>
      </c>
    </row>
    <row r="197" spans="1:17" x14ac:dyDescent="0.25">
      <c r="A197" t="s">
        <v>265</v>
      </c>
      <c r="B197" t="s">
        <v>107</v>
      </c>
      <c r="C197" s="4">
        <v>5.6313232679203323E-2</v>
      </c>
      <c r="D197" s="4">
        <v>5.6313232679203323E-2</v>
      </c>
      <c r="E197" s="4">
        <v>5.6313232679203323E-2</v>
      </c>
      <c r="F197" s="4">
        <v>5.6313232679203323E-2</v>
      </c>
      <c r="G197" s="4">
        <v>5.6313232679203323E-2</v>
      </c>
      <c r="H197" s="4">
        <v>5.6313232679203323E-2</v>
      </c>
      <c r="I197" s="4">
        <v>5.6313232679203323E-2</v>
      </c>
      <c r="J197" s="4">
        <v>5.6313232679203323E-2</v>
      </c>
      <c r="K197" s="4">
        <v>5.6313232679203323E-2</v>
      </c>
      <c r="L197" s="4">
        <v>5.6313232679203323E-2</v>
      </c>
      <c r="M197" s="4">
        <v>5.6313232679203323E-2</v>
      </c>
      <c r="N197" t="s">
        <v>251</v>
      </c>
      <c r="O197" t="s">
        <v>267</v>
      </c>
      <c r="P197" t="s">
        <v>268</v>
      </c>
      <c r="Q197" t="s">
        <v>245</v>
      </c>
    </row>
    <row r="198" spans="1:17" x14ac:dyDescent="0.25">
      <c r="A198" t="s">
        <v>264</v>
      </c>
      <c r="B198" t="s">
        <v>107</v>
      </c>
      <c r="C198" s="4">
        <v>5.6313232679203323E-2</v>
      </c>
      <c r="D198" s="4">
        <v>5.6313232679203323E-2</v>
      </c>
      <c r="E198" s="4">
        <v>5.6313232679203323E-2</v>
      </c>
      <c r="F198" s="4">
        <v>5.6313232679203323E-2</v>
      </c>
      <c r="G198" s="4">
        <v>5.6313232679203323E-2</v>
      </c>
      <c r="H198" s="4">
        <v>5.6313232679203323E-2</v>
      </c>
      <c r="I198" s="4">
        <v>5.6313232679203323E-2</v>
      </c>
      <c r="J198" s="4">
        <v>5.6313232679203323E-2</v>
      </c>
      <c r="K198" s="4">
        <v>5.6313232679203323E-2</v>
      </c>
      <c r="L198" s="4">
        <v>5.6313232679203323E-2</v>
      </c>
      <c r="M198" s="4">
        <v>5.6313232679203323E-2</v>
      </c>
      <c r="N198" t="s">
        <v>251</v>
      </c>
      <c r="O198" t="s">
        <v>263</v>
      </c>
      <c r="P198" t="s">
        <v>264</v>
      </c>
      <c r="Q198" t="s">
        <v>245</v>
      </c>
    </row>
    <row r="199" spans="1:17" x14ac:dyDescent="0.25">
      <c r="A199" t="s">
        <v>800</v>
      </c>
      <c r="B199" t="s">
        <v>107</v>
      </c>
      <c r="C199" s="4">
        <v>5.6313232679203323E-2</v>
      </c>
      <c r="D199" s="4">
        <v>5.6313232679203323E-2</v>
      </c>
      <c r="E199" s="4">
        <v>5.6313232679203323E-2</v>
      </c>
      <c r="F199" s="4">
        <v>5.6313232679203323E-2</v>
      </c>
      <c r="G199" s="4">
        <v>5.6313232679203323E-2</v>
      </c>
      <c r="H199" s="4">
        <v>5.6313232679203323E-2</v>
      </c>
      <c r="I199" s="4">
        <v>5.6313232679203323E-2</v>
      </c>
      <c r="J199" s="4">
        <v>5.6313232679203323E-2</v>
      </c>
      <c r="K199" s="4">
        <v>5.6313232679203323E-2</v>
      </c>
      <c r="L199" s="4">
        <v>5.6313232679203323E-2</v>
      </c>
      <c r="M199" s="4">
        <v>5.6313232679203323E-2</v>
      </c>
      <c r="N199" t="s">
        <v>242</v>
      </c>
      <c r="O199" t="s">
        <v>801</v>
      </c>
      <c r="P199" t="s">
        <v>800</v>
      </c>
      <c r="Q199" t="s">
        <v>245</v>
      </c>
    </row>
    <row r="200" spans="1:17" x14ac:dyDescent="0.25">
      <c r="A200" t="s">
        <v>265</v>
      </c>
      <c r="B200" t="s">
        <v>108</v>
      </c>
      <c r="C200" s="4">
        <v>1.498567944178506E-2</v>
      </c>
      <c r="D200" s="4">
        <v>1.498567944178506E-2</v>
      </c>
      <c r="E200" s="4">
        <v>1.498567944178506E-2</v>
      </c>
      <c r="F200" s="4">
        <v>1.498567944178506E-2</v>
      </c>
      <c r="G200" s="4">
        <v>1.498567944178506E-2</v>
      </c>
      <c r="H200" s="4">
        <v>1.498567944178506E-2</v>
      </c>
      <c r="I200" s="4">
        <v>1.498567944178506E-2</v>
      </c>
      <c r="J200" s="4">
        <v>1.498567944178506E-2</v>
      </c>
      <c r="K200" s="4">
        <v>1.498567944178506E-2</v>
      </c>
      <c r="L200" s="4">
        <v>1.498567944178506E-2</v>
      </c>
      <c r="M200" s="4">
        <v>1.498567944178506E-2</v>
      </c>
      <c r="N200" t="s">
        <v>269</v>
      </c>
      <c r="O200" t="s">
        <v>267</v>
      </c>
      <c r="P200" t="s">
        <v>268</v>
      </c>
      <c r="Q200" t="s">
        <v>245</v>
      </c>
    </row>
    <row r="201" spans="1:17" x14ac:dyDescent="0.25">
      <c r="A201" t="s">
        <v>264</v>
      </c>
      <c r="B201" t="s">
        <v>108</v>
      </c>
      <c r="C201" s="4">
        <v>1.498567944178506E-2</v>
      </c>
      <c r="D201" s="4">
        <v>1.498567944178506E-2</v>
      </c>
      <c r="E201" s="4">
        <v>1.498567944178506E-2</v>
      </c>
      <c r="F201" s="4">
        <v>1.498567944178506E-2</v>
      </c>
      <c r="G201" s="4">
        <v>1.498567944178506E-2</v>
      </c>
      <c r="H201" s="4">
        <v>1.498567944178506E-2</v>
      </c>
      <c r="I201" s="4">
        <v>1.498567944178506E-2</v>
      </c>
      <c r="J201" s="4">
        <v>1.498567944178506E-2</v>
      </c>
      <c r="K201" s="4">
        <v>1.498567944178506E-2</v>
      </c>
      <c r="L201" s="4">
        <v>1.498567944178506E-2</v>
      </c>
      <c r="M201" s="4">
        <v>1.498567944178506E-2</v>
      </c>
      <c r="N201" t="s">
        <v>269</v>
      </c>
      <c r="O201" t="s">
        <v>263</v>
      </c>
      <c r="P201" t="s">
        <v>264</v>
      </c>
      <c r="Q201" t="s">
        <v>245</v>
      </c>
    </row>
    <row r="202" spans="1:17" x14ac:dyDescent="0.25">
      <c r="A202" t="s">
        <v>800</v>
      </c>
      <c r="B202" t="s">
        <v>108</v>
      </c>
      <c r="C202" s="4">
        <v>1.498567944178506E-2</v>
      </c>
      <c r="D202" s="4">
        <v>1.498567944178506E-2</v>
      </c>
      <c r="E202" s="4">
        <v>1.498567944178506E-2</v>
      </c>
      <c r="F202" s="4">
        <v>1.498567944178506E-2</v>
      </c>
      <c r="G202" s="4">
        <v>1.498567944178506E-2</v>
      </c>
      <c r="H202" s="4">
        <v>1.498567944178506E-2</v>
      </c>
      <c r="I202" s="4">
        <v>1.498567944178506E-2</v>
      </c>
      <c r="J202" s="4">
        <v>1.498567944178506E-2</v>
      </c>
      <c r="K202" s="4">
        <v>1.498567944178506E-2</v>
      </c>
      <c r="L202" s="4">
        <v>1.498567944178506E-2</v>
      </c>
      <c r="M202" s="4">
        <v>1.498567944178506E-2</v>
      </c>
      <c r="N202" t="s">
        <v>242</v>
      </c>
      <c r="O202" t="s">
        <v>801</v>
      </c>
      <c r="P202" t="s">
        <v>800</v>
      </c>
      <c r="Q202" t="s">
        <v>245</v>
      </c>
    </row>
    <row r="203" spans="1:17" x14ac:dyDescent="0.25">
      <c r="A203" t="s">
        <v>265</v>
      </c>
      <c r="B203" t="s">
        <v>135</v>
      </c>
      <c r="C203" s="4">
        <v>2.6030470255725491E-3</v>
      </c>
      <c r="D203" s="4">
        <v>2.6030470255725491E-3</v>
      </c>
      <c r="E203" s="4">
        <v>2.6030470255725491E-3</v>
      </c>
      <c r="F203" s="4">
        <v>2.6030470255725491E-3</v>
      </c>
      <c r="G203" s="4">
        <v>2.6030470255725491E-3</v>
      </c>
      <c r="H203" s="4">
        <v>2.6030470255725491E-3</v>
      </c>
      <c r="I203" s="4">
        <v>2.6030470255725491E-3</v>
      </c>
      <c r="J203" s="4">
        <v>2.6030470255725491E-3</v>
      </c>
      <c r="K203" s="4">
        <v>2.6030470255725491E-3</v>
      </c>
      <c r="L203" s="4">
        <v>2.6030470255725491E-3</v>
      </c>
      <c r="M203" s="4">
        <v>2.6030470255725491E-3</v>
      </c>
      <c r="N203" t="s">
        <v>255</v>
      </c>
      <c r="O203" t="s">
        <v>267</v>
      </c>
      <c r="P203" t="s">
        <v>268</v>
      </c>
      <c r="Q203" t="s">
        <v>245</v>
      </c>
    </row>
    <row r="204" spans="1:17" x14ac:dyDescent="0.25">
      <c r="A204" t="s">
        <v>264</v>
      </c>
      <c r="B204" t="s">
        <v>135</v>
      </c>
      <c r="C204" s="4">
        <v>2.6030470255725491E-3</v>
      </c>
      <c r="D204" s="4">
        <v>2.6030470255725491E-3</v>
      </c>
      <c r="E204" s="4">
        <v>2.6030470255725491E-3</v>
      </c>
      <c r="F204" s="4">
        <v>2.6030470255725491E-3</v>
      </c>
      <c r="G204" s="4">
        <v>2.6030470255725491E-3</v>
      </c>
      <c r="H204" s="4">
        <v>2.6030470255725491E-3</v>
      </c>
      <c r="I204" s="4">
        <v>2.6030470255725491E-3</v>
      </c>
      <c r="J204" s="4">
        <v>2.6030470255725491E-3</v>
      </c>
      <c r="K204" s="4">
        <v>2.6030470255725491E-3</v>
      </c>
      <c r="L204" s="4">
        <v>2.6030470255725491E-3</v>
      </c>
      <c r="M204" s="4">
        <v>2.6030470255725491E-3</v>
      </c>
      <c r="N204" t="s">
        <v>255</v>
      </c>
      <c r="O204" t="s">
        <v>263</v>
      </c>
      <c r="P204" t="s">
        <v>264</v>
      </c>
      <c r="Q204" t="s">
        <v>245</v>
      </c>
    </row>
    <row r="205" spans="1:17" x14ac:dyDescent="0.25">
      <c r="A205" t="s">
        <v>800</v>
      </c>
      <c r="B205" t="s">
        <v>135</v>
      </c>
      <c r="C205" s="4">
        <v>2.6030470255725491E-3</v>
      </c>
      <c r="D205" s="4">
        <v>2.6030470255725491E-3</v>
      </c>
      <c r="E205" s="4">
        <v>2.6030470255725491E-3</v>
      </c>
      <c r="F205" s="4">
        <v>2.6030470255725491E-3</v>
      </c>
      <c r="G205" s="4">
        <v>2.6030470255725491E-3</v>
      </c>
      <c r="H205" s="4">
        <v>2.6030470255725491E-3</v>
      </c>
      <c r="I205" s="4">
        <v>2.6030470255725491E-3</v>
      </c>
      <c r="J205" s="4">
        <v>2.6030470255725491E-3</v>
      </c>
      <c r="K205" s="4">
        <v>2.6030470255725491E-3</v>
      </c>
      <c r="L205" s="4">
        <v>2.6030470255725491E-3</v>
      </c>
      <c r="M205" s="4">
        <v>2.6030470255725491E-3</v>
      </c>
      <c r="N205" t="s">
        <v>242</v>
      </c>
      <c r="O205" t="s">
        <v>801</v>
      </c>
      <c r="P205" t="s">
        <v>800</v>
      </c>
      <c r="Q205" t="s">
        <v>245</v>
      </c>
    </row>
    <row r="206" spans="1:17" x14ac:dyDescent="0.25">
      <c r="A206" t="s">
        <v>265</v>
      </c>
      <c r="B206" t="s">
        <v>136</v>
      </c>
      <c r="C206" s="4">
        <v>9.9812610774638907E-4</v>
      </c>
      <c r="D206" s="4">
        <v>9.9812610774638907E-4</v>
      </c>
      <c r="E206" s="4">
        <v>9.9812610774638907E-4</v>
      </c>
      <c r="F206" s="4">
        <v>9.9812610774638907E-4</v>
      </c>
      <c r="G206" s="4">
        <v>9.9812610774638907E-4</v>
      </c>
      <c r="H206" s="4">
        <v>9.9812610774638907E-4</v>
      </c>
      <c r="I206" s="4">
        <v>9.9812610774638907E-4</v>
      </c>
      <c r="J206" s="4">
        <v>9.9812610774638907E-4</v>
      </c>
      <c r="K206" s="4">
        <v>9.9812610774638907E-4</v>
      </c>
      <c r="L206" s="4">
        <v>9.9812610774638907E-4</v>
      </c>
      <c r="M206" s="4">
        <v>9.9812610774638907E-4</v>
      </c>
      <c r="N206" t="s">
        <v>255</v>
      </c>
      <c r="O206" t="s">
        <v>267</v>
      </c>
      <c r="P206" t="s">
        <v>268</v>
      </c>
      <c r="Q206" t="s">
        <v>245</v>
      </c>
    </row>
    <row r="207" spans="1:17" x14ac:dyDescent="0.25">
      <c r="A207" t="s">
        <v>264</v>
      </c>
      <c r="B207" t="s">
        <v>136</v>
      </c>
      <c r="C207" s="4">
        <v>9.9812610774638907E-4</v>
      </c>
      <c r="D207" s="4">
        <v>9.9812610774638907E-4</v>
      </c>
      <c r="E207" s="4">
        <v>9.9812610774638907E-4</v>
      </c>
      <c r="F207" s="4">
        <v>9.9812610774638907E-4</v>
      </c>
      <c r="G207" s="4">
        <v>9.9812610774638907E-4</v>
      </c>
      <c r="H207" s="4">
        <v>9.9812610774638907E-4</v>
      </c>
      <c r="I207" s="4">
        <v>9.9812610774638907E-4</v>
      </c>
      <c r="J207" s="4">
        <v>9.9812610774638907E-4</v>
      </c>
      <c r="K207" s="4">
        <v>9.9812610774638907E-4</v>
      </c>
      <c r="L207" s="4">
        <v>9.9812610774638907E-4</v>
      </c>
      <c r="M207" s="4">
        <v>9.9812610774638907E-4</v>
      </c>
      <c r="N207" t="s">
        <v>255</v>
      </c>
      <c r="O207" t="s">
        <v>263</v>
      </c>
      <c r="P207" t="s">
        <v>264</v>
      </c>
      <c r="Q207" t="s">
        <v>245</v>
      </c>
    </row>
    <row r="208" spans="1:17" x14ac:dyDescent="0.25">
      <c r="A208" t="s">
        <v>800</v>
      </c>
      <c r="B208" t="s">
        <v>136</v>
      </c>
      <c r="C208" s="4">
        <v>9.9812610774638907E-4</v>
      </c>
      <c r="D208" s="4">
        <v>9.9812610774638907E-4</v>
      </c>
      <c r="E208" s="4">
        <v>9.9812610774638907E-4</v>
      </c>
      <c r="F208" s="4">
        <v>9.9812610774638907E-4</v>
      </c>
      <c r="G208" s="4">
        <v>9.9812610774638907E-4</v>
      </c>
      <c r="H208" s="4">
        <v>9.9812610774638907E-4</v>
      </c>
      <c r="I208" s="4">
        <v>9.9812610774638907E-4</v>
      </c>
      <c r="J208" s="4">
        <v>9.9812610774638907E-4</v>
      </c>
      <c r="K208" s="4">
        <v>9.9812610774638907E-4</v>
      </c>
      <c r="L208" s="4">
        <v>9.9812610774638907E-4</v>
      </c>
      <c r="M208" s="4">
        <v>9.9812610774638907E-4</v>
      </c>
      <c r="N208" t="s">
        <v>242</v>
      </c>
      <c r="O208" t="s">
        <v>801</v>
      </c>
      <c r="P208" t="s">
        <v>800</v>
      </c>
      <c r="Q208" t="s">
        <v>245</v>
      </c>
    </row>
    <row r="209" spans="1:17" x14ac:dyDescent="0.25">
      <c r="A209" t="s">
        <v>265</v>
      </c>
      <c r="B209" t="s">
        <v>137</v>
      </c>
      <c r="C209" s="4">
        <v>1.1116007201047639E-2</v>
      </c>
      <c r="D209" s="4">
        <v>1.1116007201047639E-2</v>
      </c>
      <c r="E209" s="4">
        <v>1.1116007201047639E-2</v>
      </c>
      <c r="F209" s="4">
        <v>1.1116007201047639E-2</v>
      </c>
      <c r="G209" s="4">
        <v>1.1116007201047639E-2</v>
      </c>
      <c r="H209" s="4">
        <v>1.1116007201047639E-2</v>
      </c>
      <c r="I209" s="4">
        <v>1.1116007201047639E-2</v>
      </c>
      <c r="J209" s="4">
        <v>1.1116007201047639E-2</v>
      </c>
      <c r="K209" s="4">
        <v>1.1116007201047639E-2</v>
      </c>
      <c r="L209" s="4">
        <v>1.1116007201047639E-2</v>
      </c>
      <c r="M209" s="4">
        <v>1.1116007201047639E-2</v>
      </c>
      <c r="N209" t="s">
        <v>271</v>
      </c>
      <c r="O209" t="s">
        <v>267</v>
      </c>
      <c r="P209" t="s">
        <v>268</v>
      </c>
      <c r="Q209" t="s">
        <v>245</v>
      </c>
    </row>
    <row r="210" spans="1:17" x14ac:dyDescent="0.25">
      <c r="A210" t="s">
        <v>264</v>
      </c>
      <c r="B210" t="s">
        <v>137</v>
      </c>
      <c r="C210" s="4">
        <v>1.1116007201047639E-2</v>
      </c>
      <c r="D210" s="4">
        <v>1.1116007201047639E-2</v>
      </c>
      <c r="E210" s="4">
        <v>1.1116007201047639E-2</v>
      </c>
      <c r="F210" s="4">
        <v>1.1116007201047639E-2</v>
      </c>
      <c r="G210" s="4">
        <v>1.1116007201047639E-2</v>
      </c>
      <c r="H210" s="4">
        <v>1.1116007201047639E-2</v>
      </c>
      <c r="I210" s="4">
        <v>1.1116007201047639E-2</v>
      </c>
      <c r="J210" s="4">
        <v>1.1116007201047639E-2</v>
      </c>
      <c r="K210" s="4">
        <v>1.1116007201047639E-2</v>
      </c>
      <c r="L210" s="4">
        <v>1.1116007201047639E-2</v>
      </c>
      <c r="M210" s="4">
        <v>1.1116007201047639E-2</v>
      </c>
      <c r="N210" t="s">
        <v>271</v>
      </c>
      <c r="O210" t="s">
        <v>263</v>
      </c>
      <c r="P210" t="s">
        <v>264</v>
      </c>
      <c r="Q210" t="s">
        <v>245</v>
      </c>
    </row>
    <row r="211" spans="1:17" x14ac:dyDescent="0.25">
      <c r="A211" t="s">
        <v>800</v>
      </c>
      <c r="B211" t="s">
        <v>137</v>
      </c>
      <c r="C211" s="4">
        <v>1.1116007201047639E-2</v>
      </c>
      <c r="D211" s="4">
        <v>1.1116007201047639E-2</v>
      </c>
      <c r="E211" s="4">
        <v>1.1116007201047639E-2</v>
      </c>
      <c r="F211" s="4">
        <v>1.1116007201047639E-2</v>
      </c>
      <c r="G211" s="4">
        <v>1.1116007201047639E-2</v>
      </c>
      <c r="H211" s="4">
        <v>1.1116007201047639E-2</v>
      </c>
      <c r="I211" s="4">
        <v>1.1116007201047639E-2</v>
      </c>
      <c r="J211" s="4">
        <v>1.1116007201047639E-2</v>
      </c>
      <c r="K211" s="4">
        <v>1.1116007201047639E-2</v>
      </c>
      <c r="L211" s="4">
        <v>1.1116007201047639E-2</v>
      </c>
      <c r="M211" s="4">
        <v>1.1116007201047639E-2</v>
      </c>
      <c r="N211" t="s">
        <v>242</v>
      </c>
      <c r="O211" t="s">
        <v>801</v>
      </c>
      <c r="P211" t="s">
        <v>800</v>
      </c>
      <c r="Q211" t="s">
        <v>245</v>
      </c>
    </row>
    <row r="212" spans="1:17" x14ac:dyDescent="0.25">
      <c r="A212" t="s">
        <v>265</v>
      </c>
      <c r="B212" t="s">
        <v>121</v>
      </c>
      <c r="C212" s="4">
        <v>4.1009305492965024E-3</v>
      </c>
      <c r="D212" s="4">
        <v>4.1009305492965024E-3</v>
      </c>
      <c r="E212" s="4">
        <v>4.1009305492965024E-3</v>
      </c>
      <c r="F212" s="4">
        <v>4.1009305492965024E-3</v>
      </c>
      <c r="G212" s="4">
        <v>4.1009305492965024E-3</v>
      </c>
      <c r="H212" s="4">
        <v>4.1009305492965024E-3</v>
      </c>
      <c r="I212" s="4">
        <v>4.1009305492965024E-3</v>
      </c>
      <c r="J212" s="4">
        <v>4.1009305492965024E-3</v>
      </c>
      <c r="K212" s="4">
        <v>4.1009305492965024E-3</v>
      </c>
      <c r="L212" s="4">
        <v>4.1009305492965024E-3</v>
      </c>
      <c r="M212" s="4">
        <v>4.1009305492965024E-3</v>
      </c>
      <c r="N212" t="s">
        <v>255</v>
      </c>
      <c r="O212" t="s">
        <v>267</v>
      </c>
      <c r="P212" t="s">
        <v>268</v>
      </c>
      <c r="Q212" t="s">
        <v>245</v>
      </c>
    </row>
    <row r="213" spans="1:17" x14ac:dyDescent="0.25">
      <c r="A213" t="s">
        <v>264</v>
      </c>
      <c r="B213" t="s">
        <v>121</v>
      </c>
      <c r="C213" s="4">
        <v>4.1009305492965024E-3</v>
      </c>
      <c r="D213" s="4">
        <v>4.1009305492965024E-3</v>
      </c>
      <c r="E213" s="4">
        <v>4.1009305492965024E-3</v>
      </c>
      <c r="F213" s="4">
        <v>4.1009305492965024E-3</v>
      </c>
      <c r="G213" s="4">
        <v>4.1009305492965024E-3</v>
      </c>
      <c r="H213" s="4">
        <v>4.1009305492965024E-3</v>
      </c>
      <c r="I213" s="4">
        <v>4.1009305492965024E-3</v>
      </c>
      <c r="J213" s="4">
        <v>4.1009305492965024E-3</v>
      </c>
      <c r="K213" s="4">
        <v>4.1009305492965024E-3</v>
      </c>
      <c r="L213" s="4">
        <v>4.1009305492965024E-3</v>
      </c>
      <c r="M213" s="4">
        <v>4.1009305492965024E-3</v>
      </c>
      <c r="N213" t="s">
        <v>255</v>
      </c>
      <c r="O213" t="s">
        <v>263</v>
      </c>
      <c r="P213" t="s">
        <v>264</v>
      </c>
      <c r="Q213" t="s">
        <v>245</v>
      </c>
    </row>
    <row r="214" spans="1:17" x14ac:dyDescent="0.25">
      <c r="A214" t="s">
        <v>800</v>
      </c>
      <c r="B214" t="s">
        <v>121</v>
      </c>
      <c r="C214" s="4">
        <v>4.1009305492965024E-3</v>
      </c>
      <c r="D214" s="4">
        <v>4.1009305492965024E-3</v>
      </c>
      <c r="E214" s="4">
        <v>4.1009305492965024E-3</v>
      </c>
      <c r="F214" s="4">
        <v>4.1009305492965024E-3</v>
      </c>
      <c r="G214" s="4">
        <v>4.1009305492965024E-3</v>
      </c>
      <c r="H214" s="4">
        <v>4.1009305492965024E-3</v>
      </c>
      <c r="I214" s="4">
        <v>4.1009305492965024E-3</v>
      </c>
      <c r="J214" s="4">
        <v>4.1009305492965024E-3</v>
      </c>
      <c r="K214" s="4">
        <v>4.1009305492965024E-3</v>
      </c>
      <c r="L214" s="4">
        <v>4.1009305492965024E-3</v>
      </c>
      <c r="M214" s="4">
        <v>4.1009305492965024E-3</v>
      </c>
      <c r="N214" t="s">
        <v>242</v>
      </c>
      <c r="O214" t="s">
        <v>801</v>
      </c>
      <c r="P214" t="s">
        <v>800</v>
      </c>
      <c r="Q214" t="s">
        <v>245</v>
      </c>
    </row>
    <row r="215" spans="1:17" x14ac:dyDescent="0.25">
      <c r="A215" t="s">
        <v>265</v>
      </c>
      <c r="B215" t="s">
        <v>138</v>
      </c>
      <c r="C215" s="4">
        <v>1.892020230698159E-3</v>
      </c>
      <c r="D215" s="4">
        <v>1.892020230698159E-3</v>
      </c>
      <c r="E215" s="4">
        <v>1.892020230698159E-3</v>
      </c>
      <c r="F215" s="4">
        <v>1.892020230698159E-3</v>
      </c>
      <c r="G215" s="4">
        <v>1.892020230698159E-3</v>
      </c>
      <c r="H215" s="4">
        <v>1.892020230698159E-3</v>
      </c>
      <c r="I215" s="4">
        <v>1.892020230698159E-3</v>
      </c>
      <c r="J215" s="4">
        <v>1.892020230698159E-3</v>
      </c>
      <c r="K215" s="4">
        <v>1.892020230698159E-3</v>
      </c>
      <c r="L215" s="4">
        <v>1.892020230698159E-3</v>
      </c>
      <c r="M215" s="4">
        <v>1.892020230698159E-3</v>
      </c>
      <c r="N215" t="s">
        <v>255</v>
      </c>
      <c r="O215" t="s">
        <v>267</v>
      </c>
      <c r="P215" t="s">
        <v>268</v>
      </c>
      <c r="Q215" t="s">
        <v>245</v>
      </c>
    </row>
    <row r="216" spans="1:17" x14ac:dyDescent="0.25">
      <c r="A216" t="s">
        <v>264</v>
      </c>
      <c r="B216" t="s">
        <v>138</v>
      </c>
      <c r="C216" s="4">
        <v>1.892020230698159E-3</v>
      </c>
      <c r="D216" s="4">
        <v>1.892020230698159E-3</v>
      </c>
      <c r="E216" s="4">
        <v>1.892020230698159E-3</v>
      </c>
      <c r="F216" s="4">
        <v>1.892020230698159E-3</v>
      </c>
      <c r="G216" s="4">
        <v>1.892020230698159E-3</v>
      </c>
      <c r="H216" s="4">
        <v>1.892020230698159E-3</v>
      </c>
      <c r="I216" s="4">
        <v>1.892020230698159E-3</v>
      </c>
      <c r="J216" s="4">
        <v>1.892020230698159E-3</v>
      </c>
      <c r="K216" s="4">
        <v>1.892020230698159E-3</v>
      </c>
      <c r="L216" s="4">
        <v>1.892020230698159E-3</v>
      </c>
      <c r="M216" s="4">
        <v>1.892020230698159E-3</v>
      </c>
      <c r="N216" t="s">
        <v>255</v>
      </c>
      <c r="O216" t="s">
        <v>263</v>
      </c>
      <c r="P216" t="s">
        <v>264</v>
      </c>
      <c r="Q216" t="s">
        <v>245</v>
      </c>
    </row>
    <row r="217" spans="1:17" x14ac:dyDescent="0.25">
      <c r="A217" t="s">
        <v>800</v>
      </c>
      <c r="B217" t="s">
        <v>138</v>
      </c>
      <c r="C217" s="4">
        <v>1.892020230698159E-3</v>
      </c>
      <c r="D217" s="4">
        <v>1.892020230698159E-3</v>
      </c>
      <c r="E217" s="4">
        <v>1.892020230698159E-3</v>
      </c>
      <c r="F217" s="4">
        <v>1.892020230698159E-3</v>
      </c>
      <c r="G217" s="4">
        <v>1.892020230698159E-3</v>
      </c>
      <c r="H217" s="4">
        <v>1.892020230698159E-3</v>
      </c>
      <c r="I217" s="4">
        <v>1.892020230698159E-3</v>
      </c>
      <c r="J217" s="4">
        <v>1.892020230698159E-3</v>
      </c>
      <c r="K217" s="4">
        <v>1.892020230698159E-3</v>
      </c>
      <c r="L217" s="4">
        <v>1.892020230698159E-3</v>
      </c>
      <c r="M217" s="4">
        <v>1.892020230698159E-3</v>
      </c>
      <c r="N217" t="s">
        <v>242</v>
      </c>
      <c r="O217" t="s">
        <v>801</v>
      </c>
      <c r="P217" t="s">
        <v>800</v>
      </c>
      <c r="Q217" t="s">
        <v>245</v>
      </c>
    </row>
    <row r="218" spans="1:17" x14ac:dyDescent="0.25">
      <c r="A218" t="s">
        <v>265</v>
      </c>
      <c r="B218" t="s">
        <v>139</v>
      </c>
      <c r="C218" s="4">
        <v>1.3815662208711799E-3</v>
      </c>
      <c r="D218" s="4">
        <v>1.3815662208711799E-3</v>
      </c>
      <c r="E218" s="4">
        <v>1.3815662208711799E-3</v>
      </c>
      <c r="F218" s="4">
        <v>1.3815662208711799E-3</v>
      </c>
      <c r="G218" s="4">
        <v>1.3815662208711799E-3</v>
      </c>
      <c r="H218" s="4">
        <v>1.3815662208711799E-3</v>
      </c>
      <c r="I218" s="4">
        <v>1.3815662208711799E-3</v>
      </c>
      <c r="J218" s="4">
        <v>1.3815662208711799E-3</v>
      </c>
      <c r="K218" s="4">
        <v>1.3815662208711799E-3</v>
      </c>
      <c r="L218" s="4">
        <v>1.3815662208711799E-3</v>
      </c>
      <c r="M218" s="4">
        <v>1.3815662208711799E-3</v>
      </c>
      <c r="N218" t="s">
        <v>258</v>
      </c>
      <c r="O218" t="s">
        <v>267</v>
      </c>
      <c r="P218" t="s">
        <v>268</v>
      </c>
      <c r="Q218" t="s">
        <v>245</v>
      </c>
    </row>
    <row r="219" spans="1:17" x14ac:dyDescent="0.25">
      <c r="A219" t="s">
        <v>264</v>
      </c>
      <c r="B219" t="s">
        <v>139</v>
      </c>
      <c r="C219" s="4">
        <v>1.3815662208711799E-3</v>
      </c>
      <c r="D219" s="4">
        <v>1.3815662208711799E-3</v>
      </c>
      <c r="E219" s="4">
        <v>1.3815662208711799E-3</v>
      </c>
      <c r="F219" s="4">
        <v>1.3815662208711799E-3</v>
      </c>
      <c r="G219" s="4">
        <v>1.3815662208711799E-3</v>
      </c>
      <c r="H219" s="4">
        <v>1.3815662208711799E-3</v>
      </c>
      <c r="I219" s="4">
        <v>1.3815662208711799E-3</v>
      </c>
      <c r="J219" s="4">
        <v>1.3815662208711799E-3</v>
      </c>
      <c r="K219" s="4">
        <v>1.3815662208711799E-3</v>
      </c>
      <c r="L219" s="4">
        <v>1.3815662208711799E-3</v>
      </c>
      <c r="M219" s="4">
        <v>1.3815662208711799E-3</v>
      </c>
      <c r="N219" t="s">
        <v>258</v>
      </c>
      <c r="O219" t="s">
        <v>263</v>
      </c>
      <c r="P219" t="s">
        <v>264</v>
      </c>
      <c r="Q219" t="s">
        <v>245</v>
      </c>
    </row>
    <row r="220" spans="1:17" x14ac:dyDescent="0.25">
      <c r="A220" t="s">
        <v>800</v>
      </c>
      <c r="B220" t="s">
        <v>139</v>
      </c>
      <c r="C220" s="4">
        <v>1.3815662208711799E-3</v>
      </c>
      <c r="D220" s="4">
        <v>1.3815662208711799E-3</v>
      </c>
      <c r="E220" s="4">
        <v>1.3815662208711799E-3</v>
      </c>
      <c r="F220" s="4">
        <v>1.3815662208711799E-3</v>
      </c>
      <c r="G220" s="4">
        <v>1.3815662208711799E-3</v>
      </c>
      <c r="H220" s="4">
        <v>1.3815662208711799E-3</v>
      </c>
      <c r="I220" s="4">
        <v>1.3815662208711799E-3</v>
      </c>
      <c r="J220" s="4">
        <v>1.3815662208711799E-3</v>
      </c>
      <c r="K220" s="4">
        <v>1.3815662208711799E-3</v>
      </c>
      <c r="L220" s="4">
        <v>1.3815662208711799E-3</v>
      </c>
      <c r="M220" s="4">
        <v>1.3815662208711799E-3</v>
      </c>
      <c r="N220" t="s">
        <v>242</v>
      </c>
      <c r="O220" t="s">
        <v>801</v>
      </c>
      <c r="P220" t="s">
        <v>800</v>
      </c>
      <c r="Q220" t="s">
        <v>245</v>
      </c>
    </row>
    <row r="221" spans="1:17" x14ac:dyDescent="0.25">
      <c r="A221" t="s">
        <v>265</v>
      </c>
      <c r="B221" t="s">
        <v>112</v>
      </c>
      <c r="C221" s="4">
        <v>1.200764891896286E-3</v>
      </c>
      <c r="D221" s="4">
        <v>1.200764891896286E-3</v>
      </c>
      <c r="E221" s="4">
        <v>1.200764891896286E-3</v>
      </c>
      <c r="F221" s="4">
        <v>1.200764891896286E-3</v>
      </c>
      <c r="G221" s="4">
        <v>1.200764891896286E-3</v>
      </c>
      <c r="H221" s="4">
        <v>1.200764891896286E-3</v>
      </c>
      <c r="I221" s="4">
        <v>1.200764891896286E-3</v>
      </c>
      <c r="J221" s="4">
        <v>1.200764891896286E-3</v>
      </c>
      <c r="K221" s="4">
        <v>1.200764891896286E-3</v>
      </c>
      <c r="L221" s="4">
        <v>1.200764891896286E-3</v>
      </c>
      <c r="M221" s="4">
        <v>1.200764891896286E-3</v>
      </c>
      <c r="N221" t="s">
        <v>258</v>
      </c>
      <c r="O221" t="s">
        <v>267</v>
      </c>
      <c r="P221" t="s">
        <v>268</v>
      </c>
      <c r="Q221" t="s">
        <v>245</v>
      </c>
    </row>
    <row r="222" spans="1:17" x14ac:dyDescent="0.25">
      <c r="A222" t="s">
        <v>264</v>
      </c>
      <c r="B222" t="s">
        <v>112</v>
      </c>
      <c r="C222" s="4">
        <v>1.200764891896286E-3</v>
      </c>
      <c r="D222" s="4">
        <v>1.200764891896286E-3</v>
      </c>
      <c r="E222" s="4">
        <v>1.200764891896286E-3</v>
      </c>
      <c r="F222" s="4">
        <v>1.200764891896286E-3</v>
      </c>
      <c r="G222" s="4">
        <v>1.200764891896286E-3</v>
      </c>
      <c r="H222" s="4">
        <v>1.200764891896286E-3</v>
      </c>
      <c r="I222" s="4">
        <v>1.200764891896286E-3</v>
      </c>
      <c r="J222" s="4">
        <v>1.200764891896286E-3</v>
      </c>
      <c r="K222" s="4">
        <v>1.200764891896286E-3</v>
      </c>
      <c r="L222" s="4">
        <v>1.200764891896286E-3</v>
      </c>
      <c r="M222" s="4">
        <v>1.200764891896286E-3</v>
      </c>
      <c r="N222" t="s">
        <v>258</v>
      </c>
      <c r="O222" t="s">
        <v>263</v>
      </c>
      <c r="P222" t="s">
        <v>264</v>
      </c>
      <c r="Q222" t="s">
        <v>245</v>
      </c>
    </row>
    <row r="223" spans="1:17" x14ac:dyDescent="0.25">
      <c r="A223" t="s">
        <v>800</v>
      </c>
      <c r="B223" t="s">
        <v>112</v>
      </c>
      <c r="C223" s="4">
        <v>1.200764891896286E-3</v>
      </c>
      <c r="D223" s="4">
        <v>1.200764891896286E-3</v>
      </c>
      <c r="E223" s="4">
        <v>1.200764891896286E-3</v>
      </c>
      <c r="F223" s="4">
        <v>1.200764891896286E-3</v>
      </c>
      <c r="G223" s="4">
        <v>1.200764891896286E-3</v>
      </c>
      <c r="H223" s="4">
        <v>1.200764891896286E-3</v>
      </c>
      <c r="I223" s="4">
        <v>1.200764891896286E-3</v>
      </c>
      <c r="J223" s="4">
        <v>1.200764891896286E-3</v>
      </c>
      <c r="K223" s="4">
        <v>1.200764891896286E-3</v>
      </c>
      <c r="L223" s="4">
        <v>1.200764891896286E-3</v>
      </c>
      <c r="M223" s="4">
        <v>1.200764891896286E-3</v>
      </c>
      <c r="N223" t="s">
        <v>242</v>
      </c>
      <c r="O223" t="s">
        <v>801</v>
      </c>
      <c r="P223" t="s">
        <v>800</v>
      </c>
      <c r="Q223" t="s">
        <v>245</v>
      </c>
    </row>
    <row r="224" spans="1:17" x14ac:dyDescent="0.25">
      <c r="A224" t="s">
        <v>265</v>
      </c>
      <c r="B224" t="s">
        <v>113</v>
      </c>
      <c r="C224" s="4">
        <v>1.4601894477682261E-2</v>
      </c>
      <c r="D224" s="4">
        <v>1.4601894477682261E-2</v>
      </c>
      <c r="E224" s="4">
        <v>1.4601894477682261E-2</v>
      </c>
      <c r="F224" s="4">
        <v>1.4601894477682261E-2</v>
      </c>
      <c r="G224" s="4">
        <v>1.4601894477682261E-2</v>
      </c>
      <c r="H224" s="4">
        <v>1.4601894477682261E-2</v>
      </c>
      <c r="I224" s="4">
        <v>1.4601894477682261E-2</v>
      </c>
      <c r="J224" s="4">
        <v>1.4601894477682261E-2</v>
      </c>
      <c r="K224" s="4">
        <v>1.4601894477682261E-2</v>
      </c>
      <c r="L224" s="4">
        <v>1.4601894477682261E-2</v>
      </c>
      <c r="M224" s="4">
        <v>1.4601894477682261E-2</v>
      </c>
      <c r="N224" t="s">
        <v>270</v>
      </c>
      <c r="O224" t="s">
        <v>267</v>
      </c>
      <c r="P224" t="s">
        <v>268</v>
      </c>
      <c r="Q224" t="s">
        <v>245</v>
      </c>
    </row>
    <row r="225" spans="1:17" x14ac:dyDescent="0.25">
      <c r="A225" t="s">
        <v>264</v>
      </c>
      <c r="B225" t="s">
        <v>113</v>
      </c>
      <c r="C225" s="4">
        <v>1.4601894477682261E-2</v>
      </c>
      <c r="D225" s="4">
        <v>1.4601894477682261E-2</v>
      </c>
      <c r="E225" s="4">
        <v>1.4601894477682261E-2</v>
      </c>
      <c r="F225" s="4">
        <v>1.4601894477682261E-2</v>
      </c>
      <c r="G225" s="4">
        <v>1.4601894477682261E-2</v>
      </c>
      <c r="H225" s="4">
        <v>1.4601894477682261E-2</v>
      </c>
      <c r="I225" s="4">
        <v>1.4601894477682261E-2</v>
      </c>
      <c r="J225" s="4">
        <v>1.4601894477682261E-2</v>
      </c>
      <c r="K225" s="4">
        <v>1.4601894477682261E-2</v>
      </c>
      <c r="L225" s="4">
        <v>1.4601894477682261E-2</v>
      </c>
      <c r="M225" s="4">
        <v>1.4601894477682261E-2</v>
      </c>
      <c r="N225" t="s">
        <v>270</v>
      </c>
      <c r="O225" t="s">
        <v>263</v>
      </c>
      <c r="P225" t="s">
        <v>264</v>
      </c>
      <c r="Q225" t="s">
        <v>245</v>
      </c>
    </row>
    <row r="226" spans="1:17" x14ac:dyDescent="0.25">
      <c r="A226" t="s">
        <v>800</v>
      </c>
      <c r="B226" t="s">
        <v>113</v>
      </c>
      <c r="C226" s="4">
        <v>1.4601894477682261E-2</v>
      </c>
      <c r="D226" s="4">
        <v>1.4601894477682261E-2</v>
      </c>
      <c r="E226" s="4">
        <v>1.4601894477682261E-2</v>
      </c>
      <c r="F226" s="4">
        <v>1.4601894477682261E-2</v>
      </c>
      <c r="G226" s="4">
        <v>1.4601894477682261E-2</v>
      </c>
      <c r="H226" s="4">
        <v>1.4601894477682261E-2</v>
      </c>
      <c r="I226" s="4">
        <v>1.4601894477682261E-2</v>
      </c>
      <c r="J226" s="4">
        <v>1.4601894477682261E-2</v>
      </c>
      <c r="K226" s="4">
        <v>1.4601894477682261E-2</v>
      </c>
      <c r="L226" s="4">
        <v>1.4601894477682261E-2</v>
      </c>
      <c r="M226" s="4">
        <v>1.4601894477682261E-2</v>
      </c>
      <c r="N226" t="s">
        <v>242</v>
      </c>
      <c r="O226" t="s">
        <v>801</v>
      </c>
      <c r="P226" t="s">
        <v>800</v>
      </c>
      <c r="Q226" t="s">
        <v>245</v>
      </c>
    </row>
    <row r="227" spans="1:17" x14ac:dyDescent="0.25">
      <c r="A227" t="s">
        <v>265</v>
      </c>
      <c r="B227" t="s">
        <v>123</v>
      </c>
      <c r="C227" s="4">
        <v>4.0077275822670358E-2</v>
      </c>
      <c r="D227" s="4">
        <v>4.0077275822670358E-2</v>
      </c>
      <c r="E227" s="4">
        <v>4.0077275822670358E-2</v>
      </c>
      <c r="F227" s="4">
        <v>4.0077275822670358E-2</v>
      </c>
      <c r="G227" s="4">
        <v>4.0077275822670358E-2</v>
      </c>
      <c r="H227" s="4">
        <v>4.0077275822670358E-2</v>
      </c>
      <c r="I227" s="4">
        <v>4.0077275822670358E-2</v>
      </c>
      <c r="J227" s="4">
        <v>4.0077275822670358E-2</v>
      </c>
      <c r="K227" s="4">
        <v>4.0077275822670358E-2</v>
      </c>
      <c r="L227" s="4">
        <v>4.0077275822670358E-2</v>
      </c>
      <c r="M227" s="4">
        <v>4.0077275822670358E-2</v>
      </c>
      <c r="N227" t="s">
        <v>269</v>
      </c>
      <c r="O227" t="s">
        <v>267</v>
      </c>
      <c r="P227" t="s">
        <v>268</v>
      </c>
      <c r="Q227" t="s">
        <v>245</v>
      </c>
    </row>
    <row r="228" spans="1:17" x14ac:dyDescent="0.25">
      <c r="A228" t="s">
        <v>264</v>
      </c>
      <c r="B228" t="s">
        <v>123</v>
      </c>
      <c r="C228" s="4">
        <v>4.0077275822670358E-2</v>
      </c>
      <c r="D228" s="4">
        <v>4.0077275822670358E-2</v>
      </c>
      <c r="E228" s="4">
        <v>4.0077275822670358E-2</v>
      </c>
      <c r="F228" s="4">
        <v>4.0077275822670358E-2</v>
      </c>
      <c r="G228" s="4">
        <v>4.0077275822670358E-2</v>
      </c>
      <c r="H228" s="4">
        <v>4.0077275822670358E-2</v>
      </c>
      <c r="I228" s="4">
        <v>4.0077275822670358E-2</v>
      </c>
      <c r="J228" s="4">
        <v>4.0077275822670358E-2</v>
      </c>
      <c r="K228" s="4">
        <v>4.0077275822670358E-2</v>
      </c>
      <c r="L228" s="4">
        <v>4.0077275822670358E-2</v>
      </c>
      <c r="M228" s="4">
        <v>4.0077275822670358E-2</v>
      </c>
      <c r="N228" t="s">
        <v>269</v>
      </c>
      <c r="O228" t="s">
        <v>263</v>
      </c>
      <c r="P228" t="s">
        <v>264</v>
      </c>
      <c r="Q228" t="s">
        <v>245</v>
      </c>
    </row>
    <row r="229" spans="1:17" x14ac:dyDescent="0.25">
      <c r="A229" t="s">
        <v>800</v>
      </c>
      <c r="B229" t="s">
        <v>123</v>
      </c>
      <c r="C229" s="4">
        <v>4.0077275822670358E-2</v>
      </c>
      <c r="D229" s="4">
        <v>4.0077275822670358E-2</v>
      </c>
      <c r="E229" s="4">
        <v>4.0077275822670358E-2</v>
      </c>
      <c r="F229" s="4">
        <v>4.0077275822670358E-2</v>
      </c>
      <c r="G229" s="4">
        <v>4.0077275822670358E-2</v>
      </c>
      <c r="H229" s="4">
        <v>4.0077275822670358E-2</v>
      </c>
      <c r="I229" s="4">
        <v>4.0077275822670358E-2</v>
      </c>
      <c r="J229" s="4">
        <v>4.0077275822670358E-2</v>
      </c>
      <c r="K229" s="4">
        <v>4.0077275822670358E-2</v>
      </c>
      <c r="L229" s="4">
        <v>4.0077275822670358E-2</v>
      </c>
      <c r="M229" s="4">
        <v>4.0077275822670358E-2</v>
      </c>
      <c r="N229" t="s">
        <v>242</v>
      </c>
      <c r="O229" t="s">
        <v>801</v>
      </c>
      <c r="P229" t="s">
        <v>800</v>
      </c>
      <c r="Q229" t="s">
        <v>245</v>
      </c>
    </row>
    <row r="230" spans="1:17" x14ac:dyDescent="0.25">
      <c r="A230" t="s">
        <v>265</v>
      </c>
      <c r="B230" t="s">
        <v>140</v>
      </c>
      <c r="C230" s="4">
        <v>6.371075217233204E-4</v>
      </c>
      <c r="D230" s="4">
        <v>6.371075217233204E-4</v>
      </c>
      <c r="E230" s="4">
        <v>6.371075217233204E-4</v>
      </c>
      <c r="F230" s="4">
        <v>6.371075217233204E-4</v>
      </c>
      <c r="G230" s="4">
        <v>6.371075217233204E-4</v>
      </c>
      <c r="H230" s="4">
        <v>6.371075217233204E-4</v>
      </c>
      <c r="I230" s="4">
        <v>6.371075217233204E-4</v>
      </c>
      <c r="J230" s="4">
        <v>6.371075217233204E-4</v>
      </c>
      <c r="K230" s="4">
        <v>6.371075217233204E-4</v>
      </c>
      <c r="L230" s="4">
        <v>6.371075217233204E-4</v>
      </c>
      <c r="M230" s="4">
        <v>6.371075217233204E-4</v>
      </c>
      <c r="N230" t="s">
        <v>255</v>
      </c>
      <c r="O230" t="s">
        <v>267</v>
      </c>
      <c r="P230" t="s">
        <v>268</v>
      </c>
      <c r="Q230" t="s">
        <v>245</v>
      </c>
    </row>
    <row r="231" spans="1:17" x14ac:dyDescent="0.25">
      <c r="A231" t="s">
        <v>264</v>
      </c>
      <c r="B231" t="s">
        <v>140</v>
      </c>
      <c r="C231" s="4">
        <v>6.371075217233204E-4</v>
      </c>
      <c r="D231" s="4">
        <v>6.371075217233204E-4</v>
      </c>
      <c r="E231" s="4">
        <v>6.371075217233204E-4</v>
      </c>
      <c r="F231" s="4">
        <v>6.371075217233204E-4</v>
      </c>
      <c r="G231" s="4">
        <v>6.371075217233204E-4</v>
      </c>
      <c r="H231" s="4">
        <v>6.371075217233204E-4</v>
      </c>
      <c r="I231" s="4">
        <v>6.371075217233204E-4</v>
      </c>
      <c r="J231" s="4">
        <v>6.371075217233204E-4</v>
      </c>
      <c r="K231" s="4">
        <v>6.371075217233204E-4</v>
      </c>
      <c r="L231" s="4">
        <v>6.371075217233204E-4</v>
      </c>
      <c r="M231" s="4">
        <v>6.371075217233204E-4</v>
      </c>
      <c r="N231" t="s">
        <v>255</v>
      </c>
      <c r="O231" t="s">
        <v>263</v>
      </c>
      <c r="P231" t="s">
        <v>264</v>
      </c>
      <c r="Q231" t="s">
        <v>245</v>
      </c>
    </row>
    <row r="232" spans="1:17" x14ac:dyDescent="0.25">
      <c r="A232" t="s">
        <v>800</v>
      </c>
      <c r="B232" t="s">
        <v>140</v>
      </c>
      <c r="C232" s="4">
        <v>6.371075217233204E-4</v>
      </c>
      <c r="D232" s="4">
        <v>6.371075217233204E-4</v>
      </c>
      <c r="E232" s="4">
        <v>6.371075217233204E-4</v>
      </c>
      <c r="F232" s="4">
        <v>6.371075217233204E-4</v>
      </c>
      <c r="G232" s="4">
        <v>6.371075217233204E-4</v>
      </c>
      <c r="H232" s="4">
        <v>6.371075217233204E-4</v>
      </c>
      <c r="I232" s="4">
        <v>6.371075217233204E-4</v>
      </c>
      <c r="J232" s="4">
        <v>6.371075217233204E-4</v>
      </c>
      <c r="K232" s="4">
        <v>6.371075217233204E-4</v>
      </c>
      <c r="L232" s="4">
        <v>6.371075217233204E-4</v>
      </c>
      <c r="M232" s="4">
        <v>6.371075217233204E-4</v>
      </c>
      <c r="N232" t="s">
        <v>242</v>
      </c>
      <c r="O232" t="s">
        <v>801</v>
      </c>
      <c r="P232" t="s">
        <v>800</v>
      </c>
      <c r="Q232" t="s">
        <v>245</v>
      </c>
    </row>
    <row r="233" spans="1:17" x14ac:dyDescent="0.25">
      <c r="A233" t="s">
        <v>265</v>
      </c>
      <c r="B233" t="s">
        <v>114</v>
      </c>
      <c r="C233" s="4">
        <v>8.0465228202105602E-4</v>
      </c>
      <c r="D233" s="4">
        <v>8.0465228202105602E-4</v>
      </c>
      <c r="E233" s="4">
        <v>8.0465228202105602E-4</v>
      </c>
      <c r="F233" s="4">
        <v>8.0465228202105602E-4</v>
      </c>
      <c r="G233" s="4">
        <v>8.0465228202105602E-4</v>
      </c>
      <c r="H233" s="4">
        <v>8.0465228202105602E-4</v>
      </c>
      <c r="I233" s="4">
        <v>8.0465228202105602E-4</v>
      </c>
      <c r="J233" s="4">
        <v>8.0465228202105602E-4</v>
      </c>
      <c r="K233" s="4">
        <v>8.0465228202105602E-4</v>
      </c>
      <c r="L233" s="4">
        <v>8.0465228202105602E-4</v>
      </c>
      <c r="M233" s="4">
        <v>8.0465228202105602E-4</v>
      </c>
      <c r="N233" t="s">
        <v>252</v>
      </c>
      <c r="O233" t="s">
        <v>267</v>
      </c>
      <c r="P233" t="s">
        <v>268</v>
      </c>
      <c r="Q233" t="s">
        <v>245</v>
      </c>
    </row>
    <row r="234" spans="1:17" x14ac:dyDescent="0.25">
      <c r="A234" t="s">
        <v>264</v>
      </c>
      <c r="B234" t="s">
        <v>114</v>
      </c>
      <c r="C234" s="4">
        <v>8.0465228202105602E-4</v>
      </c>
      <c r="D234" s="4">
        <v>8.0465228202105602E-4</v>
      </c>
      <c r="E234" s="4">
        <v>8.0465228202105602E-4</v>
      </c>
      <c r="F234" s="4">
        <v>8.0465228202105602E-4</v>
      </c>
      <c r="G234" s="4">
        <v>8.0465228202105602E-4</v>
      </c>
      <c r="H234" s="4">
        <v>8.0465228202105602E-4</v>
      </c>
      <c r="I234" s="4">
        <v>8.0465228202105602E-4</v>
      </c>
      <c r="J234" s="4">
        <v>8.0465228202105602E-4</v>
      </c>
      <c r="K234" s="4">
        <v>8.0465228202105602E-4</v>
      </c>
      <c r="L234" s="4">
        <v>8.0465228202105602E-4</v>
      </c>
      <c r="M234" s="4">
        <v>8.0465228202105602E-4</v>
      </c>
      <c r="N234" t="s">
        <v>252</v>
      </c>
      <c r="O234" t="s">
        <v>263</v>
      </c>
      <c r="P234" t="s">
        <v>264</v>
      </c>
      <c r="Q234" t="s">
        <v>245</v>
      </c>
    </row>
    <row r="235" spans="1:17" x14ac:dyDescent="0.25">
      <c r="A235" t="s">
        <v>800</v>
      </c>
      <c r="B235" t="s">
        <v>114</v>
      </c>
      <c r="C235" s="4">
        <v>8.0465228202105602E-4</v>
      </c>
      <c r="D235" s="4">
        <v>8.0465228202105602E-4</v>
      </c>
      <c r="E235" s="4">
        <v>8.0465228202105602E-4</v>
      </c>
      <c r="F235" s="4">
        <v>8.0465228202105602E-4</v>
      </c>
      <c r="G235" s="4">
        <v>8.0465228202105602E-4</v>
      </c>
      <c r="H235" s="4">
        <v>8.0465228202105602E-4</v>
      </c>
      <c r="I235" s="4">
        <v>8.0465228202105602E-4</v>
      </c>
      <c r="J235" s="4">
        <v>8.0465228202105602E-4</v>
      </c>
      <c r="K235" s="4">
        <v>8.0465228202105602E-4</v>
      </c>
      <c r="L235" s="4">
        <v>8.0465228202105602E-4</v>
      </c>
      <c r="M235" s="4">
        <v>8.0465228202105602E-4</v>
      </c>
      <c r="N235" t="s">
        <v>242</v>
      </c>
      <c r="O235" t="s">
        <v>801</v>
      </c>
      <c r="P235" t="s">
        <v>800</v>
      </c>
      <c r="Q235" t="s">
        <v>245</v>
      </c>
    </row>
    <row r="236" spans="1:17" x14ac:dyDescent="0.25">
      <c r="A236" t="s">
        <v>750</v>
      </c>
      <c r="B236" t="s">
        <v>183</v>
      </c>
      <c r="C236" s="4">
        <v>1.8273494682108996E-3</v>
      </c>
      <c r="D236" s="4">
        <v>1.8273494682108996E-3</v>
      </c>
      <c r="E236" s="4">
        <v>1.8273494682108996E-3</v>
      </c>
      <c r="F236" s="4">
        <v>1.8273494682108996E-3</v>
      </c>
      <c r="G236" s="4">
        <v>1.8273494682108996E-3</v>
      </c>
      <c r="H236" s="4">
        <v>1.8273494682108996E-3</v>
      </c>
      <c r="I236" s="4">
        <v>1.8273494682108996E-3</v>
      </c>
      <c r="J236" s="4">
        <v>1.8273494682108996E-3</v>
      </c>
      <c r="K236" s="4">
        <v>1.8273494682108996E-3</v>
      </c>
      <c r="L236" s="4">
        <v>1.8273494682108996E-3</v>
      </c>
      <c r="M236" s="4">
        <v>1.8273494682108996E-3</v>
      </c>
      <c r="N236" t="s">
        <v>256</v>
      </c>
      <c r="O236" t="s">
        <v>751</v>
      </c>
      <c r="P236" t="s">
        <v>750</v>
      </c>
      <c r="Q236" t="s">
        <v>245</v>
      </c>
    </row>
    <row r="237" spans="1:17" x14ac:dyDescent="0.25">
      <c r="A237" t="s">
        <v>750</v>
      </c>
      <c r="B237" t="s">
        <v>124</v>
      </c>
      <c r="C237" s="4">
        <v>5.1966656740398947E-3</v>
      </c>
      <c r="D237" s="4">
        <v>5.1966656740398947E-3</v>
      </c>
      <c r="E237" s="4">
        <v>5.1966656740398947E-3</v>
      </c>
      <c r="F237" s="4">
        <v>5.1966656740398947E-3</v>
      </c>
      <c r="G237" s="4">
        <v>5.1966656740398947E-3</v>
      </c>
      <c r="H237" s="4">
        <v>5.1966656740398947E-3</v>
      </c>
      <c r="I237" s="4">
        <v>5.1966656740398947E-3</v>
      </c>
      <c r="J237" s="4">
        <v>5.1966656740398947E-3</v>
      </c>
      <c r="K237" s="4">
        <v>5.1966656740398947E-3</v>
      </c>
      <c r="L237" s="4">
        <v>5.1966656740398947E-3</v>
      </c>
      <c r="M237" s="4">
        <v>5.1966656740398947E-3</v>
      </c>
      <c r="N237" t="s">
        <v>256</v>
      </c>
      <c r="O237" t="s">
        <v>751</v>
      </c>
      <c r="P237" t="s">
        <v>750</v>
      </c>
      <c r="Q237" t="s">
        <v>245</v>
      </c>
    </row>
    <row r="238" spans="1:17" x14ac:dyDescent="0.25">
      <c r="A238" t="s">
        <v>750</v>
      </c>
      <c r="B238" t="s">
        <v>164</v>
      </c>
      <c r="C238" s="4">
        <v>7.5022678694051817E-4</v>
      </c>
      <c r="D238" s="4">
        <v>7.5022678694051817E-4</v>
      </c>
      <c r="E238" s="4">
        <v>7.5022678694051817E-4</v>
      </c>
      <c r="F238" s="4">
        <v>7.5022678694051817E-4</v>
      </c>
      <c r="G238" s="4">
        <v>7.5022678694051817E-4</v>
      </c>
      <c r="H238" s="4">
        <v>7.5022678694051817E-4</v>
      </c>
      <c r="I238" s="4">
        <v>7.5022678694051817E-4</v>
      </c>
      <c r="J238" s="4">
        <v>7.5022678694051817E-4</v>
      </c>
      <c r="K238" s="4">
        <v>7.5022678694051817E-4</v>
      </c>
      <c r="L238" s="4">
        <v>7.5022678694051817E-4</v>
      </c>
      <c r="M238" s="4">
        <v>7.5022678694051817E-4</v>
      </c>
      <c r="N238" t="s">
        <v>256</v>
      </c>
      <c r="O238" t="s">
        <v>751</v>
      </c>
      <c r="P238" t="s">
        <v>750</v>
      </c>
      <c r="Q238" t="s">
        <v>245</v>
      </c>
    </row>
    <row r="239" spans="1:17" x14ac:dyDescent="0.25">
      <c r="A239" t="s">
        <v>750</v>
      </c>
      <c r="B239" t="s">
        <v>83</v>
      </c>
      <c r="C239" s="4">
        <v>3.544003923156134E-3</v>
      </c>
      <c r="D239" s="4">
        <v>3.544003923156134E-3</v>
      </c>
      <c r="E239" s="4">
        <v>3.544003923156134E-3</v>
      </c>
      <c r="F239" s="4">
        <v>3.544003923156134E-3</v>
      </c>
      <c r="G239" s="4">
        <v>3.544003923156134E-3</v>
      </c>
      <c r="H239" s="4">
        <v>3.544003923156134E-3</v>
      </c>
      <c r="I239" s="4">
        <v>3.544003923156134E-3</v>
      </c>
      <c r="J239" s="4">
        <v>3.544003923156134E-3</v>
      </c>
      <c r="K239" s="4">
        <v>3.544003923156134E-3</v>
      </c>
      <c r="L239" s="4">
        <v>3.544003923156134E-3</v>
      </c>
      <c r="M239" s="4">
        <v>3.544003923156134E-3</v>
      </c>
      <c r="N239" t="s">
        <v>256</v>
      </c>
      <c r="O239" t="s">
        <v>751</v>
      </c>
      <c r="P239" t="s">
        <v>750</v>
      </c>
      <c r="Q239" t="s">
        <v>245</v>
      </c>
    </row>
    <row r="240" spans="1:17" x14ac:dyDescent="0.25">
      <c r="A240" t="s">
        <v>750</v>
      </c>
      <c r="B240" t="s">
        <v>125</v>
      </c>
      <c r="C240" s="4">
        <v>1.0476925238339378E-2</v>
      </c>
      <c r="D240" s="4">
        <v>1.0476925238339378E-2</v>
      </c>
      <c r="E240" s="4">
        <v>1.0476925238339378E-2</v>
      </c>
      <c r="F240" s="4">
        <v>1.0476925238339378E-2</v>
      </c>
      <c r="G240" s="4">
        <v>1.0476925238339378E-2</v>
      </c>
      <c r="H240" s="4">
        <v>1.0476925238339378E-2</v>
      </c>
      <c r="I240" s="4">
        <v>1.0476925238339378E-2</v>
      </c>
      <c r="J240" s="4">
        <v>1.0476925238339378E-2</v>
      </c>
      <c r="K240" s="4">
        <v>1.0476925238339378E-2</v>
      </c>
      <c r="L240" s="4">
        <v>1.0476925238339378E-2</v>
      </c>
      <c r="M240" s="4">
        <v>1.0476925238339378E-2</v>
      </c>
      <c r="N240" t="s">
        <v>256</v>
      </c>
      <c r="O240" t="s">
        <v>751</v>
      </c>
      <c r="P240" t="s">
        <v>750</v>
      </c>
      <c r="Q240" t="s">
        <v>245</v>
      </c>
    </row>
    <row r="241" spans="1:17" x14ac:dyDescent="0.25">
      <c r="A241" t="s">
        <v>750</v>
      </c>
      <c r="B241" t="s">
        <v>144</v>
      </c>
      <c r="C241" s="4">
        <v>7.0945348183451451E-7</v>
      </c>
      <c r="D241" s="4">
        <v>7.0945348183451451E-7</v>
      </c>
      <c r="E241" s="4">
        <v>7.0945348183451451E-7</v>
      </c>
      <c r="F241" s="4">
        <v>7.0945348183451451E-7</v>
      </c>
      <c r="G241" s="4">
        <v>7.0945348183451451E-7</v>
      </c>
      <c r="H241" s="4">
        <v>7.0945348183451451E-7</v>
      </c>
      <c r="I241" s="4">
        <v>7.0945348183451451E-7</v>
      </c>
      <c r="J241" s="4">
        <v>7.0945348183451451E-7</v>
      </c>
      <c r="K241" s="4">
        <v>7.0945348183451451E-7</v>
      </c>
      <c r="L241" s="4">
        <v>7.0945348183451451E-7</v>
      </c>
      <c r="M241" s="4">
        <v>7.0945348183451451E-7</v>
      </c>
      <c r="N241" t="s">
        <v>256</v>
      </c>
      <c r="O241" t="s">
        <v>751</v>
      </c>
      <c r="P241" t="s">
        <v>750</v>
      </c>
      <c r="Q241" t="s">
        <v>245</v>
      </c>
    </row>
    <row r="242" spans="1:17" x14ac:dyDescent="0.25">
      <c r="A242" t="s">
        <v>750</v>
      </c>
      <c r="B242" t="s">
        <v>84</v>
      </c>
      <c r="C242" s="4">
        <v>4.2490891985524958E-3</v>
      </c>
      <c r="D242" s="4">
        <v>4.2490891985524958E-3</v>
      </c>
      <c r="E242" s="4">
        <v>4.2490891985524958E-3</v>
      </c>
      <c r="F242" s="4">
        <v>4.2490891985524958E-3</v>
      </c>
      <c r="G242" s="4">
        <v>4.2490891985524958E-3</v>
      </c>
      <c r="H242" s="4">
        <v>4.2490891985524958E-3</v>
      </c>
      <c r="I242" s="4">
        <v>4.2490891985524958E-3</v>
      </c>
      <c r="J242" s="4">
        <v>4.2490891985524958E-3</v>
      </c>
      <c r="K242" s="4">
        <v>4.2490891985524958E-3</v>
      </c>
      <c r="L242" s="4">
        <v>4.2490891985524958E-3</v>
      </c>
      <c r="M242" s="4">
        <v>4.2490891985524958E-3</v>
      </c>
      <c r="N242" t="s">
        <v>256</v>
      </c>
      <c r="O242" t="s">
        <v>751</v>
      </c>
      <c r="P242" t="s">
        <v>750</v>
      </c>
      <c r="Q242" t="s">
        <v>245</v>
      </c>
    </row>
    <row r="243" spans="1:17" x14ac:dyDescent="0.25">
      <c r="A243" t="s">
        <v>750</v>
      </c>
      <c r="B243" t="s">
        <v>85</v>
      </c>
      <c r="C243" s="4">
        <v>2.0855368198350384E-2</v>
      </c>
      <c r="D243" s="4">
        <v>2.0855368198350384E-2</v>
      </c>
      <c r="E243" s="4">
        <v>2.0855368198350384E-2</v>
      </c>
      <c r="F243" s="4">
        <v>2.0855368198350384E-2</v>
      </c>
      <c r="G243" s="4">
        <v>2.0855368198350384E-2</v>
      </c>
      <c r="H243" s="4">
        <v>2.0855368198350384E-2</v>
      </c>
      <c r="I243" s="4">
        <v>2.0855368198350384E-2</v>
      </c>
      <c r="J243" s="4">
        <v>2.0855368198350384E-2</v>
      </c>
      <c r="K243" s="4">
        <v>2.0855368198350384E-2</v>
      </c>
      <c r="L243" s="4">
        <v>2.0855368198350384E-2</v>
      </c>
      <c r="M243" s="4">
        <v>2.0855368198350384E-2</v>
      </c>
      <c r="N243" t="s">
        <v>256</v>
      </c>
      <c r="O243" t="s">
        <v>751</v>
      </c>
      <c r="P243" t="s">
        <v>750</v>
      </c>
      <c r="Q243" t="s">
        <v>245</v>
      </c>
    </row>
    <row r="244" spans="1:17" x14ac:dyDescent="0.25">
      <c r="A244" t="s">
        <v>750</v>
      </c>
      <c r="B244" t="s">
        <v>147</v>
      </c>
      <c r="C244" s="4">
        <v>3.0622100096224188E-2</v>
      </c>
      <c r="D244" s="4">
        <v>3.0622100096224188E-2</v>
      </c>
      <c r="E244" s="4">
        <v>3.0622100096224188E-2</v>
      </c>
      <c r="F244" s="4">
        <v>3.0622100096224188E-2</v>
      </c>
      <c r="G244" s="4">
        <v>3.0622100096224188E-2</v>
      </c>
      <c r="H244" s="4">
        <v>3.0622100096224188E-2</v>
      </c>
      <c r="I244" s="4">
        <v>3.0622100096224188E-2</v>
      </c>
      <c r="J244" s="4">
        <v>3.0622100096224188E-2</v>
      </c>
      <c r="K244" s="4">
        <v>3.0622100096224188E-2</v>
      </c>
      <c r="L244" s="4">
        <v>3.0622100096224188E-2</v>
      </c>
      <c r="M244" s="4">
        <v>3.0622100096224188E-2</v>
      </c>
      <c r="N244" t="s">
        <v>256</v>
      </c>
      <c r="O244" t="s">
        <v>751</v>
      </c>
      <c r="P244" t="s">
        <v>750</v>
      </c>
      <c r="Q244" t="s">
        <v>245</v>
      </c>
    </row>
    <row r="245" spans="1:17" x14ac:dyDescent="0.25">
      <c r="A245" t="s">
        <v>750</v>
      </c>
      <c r="B245" t="s">
        <v>116</v>
      </c>
      <c r="C245" s="4">
        <v>0</v>
      </c>
      <c r="D245" s="4">
        <v>0</v>
      </c>
      <c r="E245" s="4">
        <v>0</v>
      </c>
      <c r="F245" s="4">
        <v>0</v>
      </c>
      <c r="G245" s="4">
        <v>0</v>
      </c>
      <c r="H245" s="4">
        <v>0</v>
      </c>
      <c r="I245" s="4">
        <v>0</v>
      </c>
      <c r="J245" s="4">
        <v>0</v>
      </c>
      <c r="K245" s="4">
        <v>0</v>
      </c>
      <c r="L245" s="4">
        <v>0</v>
      </c>
      <c r="M245" s="4">
        <v>0</v>
      </c>
      <c r="N245" t="s">
        <v>256</v>
      </c>
      <c r="O245" t="s">
        <v>751</v>
      </c>
      <c r="P245" t="s">
        <v>750</v>
      </c>
      <c r="Q245" t="s">
        <v>245</v>
      </c>
    </row>
    <row r="246" spans="1:17" x14ac:dyDescent="0.25">
      <c r="A246" t="s">
        <v>750</v>
      </c>
      <c r="B246" t="s">
        <v>145</v>
      </c>
      <c r="C246" s="4">
        <v>2.8824081461962278E-5</v>
      </c>
      <c r="D246" s="4">
        <v>2.8824081461962278E-5</v>
      </c>
      <c r="E246" s="4">
        <v>2.8824081461962278E-5</v>
      </c>
      <c r="F246" s="4">
        <v>2.8824081461962278E-5</v>
      </c>
      <c r="G246" s="4">
        <v>2.8824081461962278E-5</v>
      </c>
      <c r="H246" s="4">
        <v>2.8824081461962278E-5</v>
      </c>
      <c r="I246" s="4">
        <v>2.8824081461962278E-5</v>
      </c>
      <c r="J246" s="4">
        <v>2.8824081461962278E-5</v>
      </c>
      <c r="K246" s="4">
        <v>2.8824081461962278E-5</v>
      </c>
      <c r="L246" s="4">
        <v>2.8824081461962278E-5</v>
      </c>
      <c r="M246" s="4">
        <v>2.8824081461962278E-5</v>
      </c>
      <c r="N246" t="s">
        <v>256</v>
      </c>
      <c r="O246" t="s">
        <v>751</v>
      </c>
      <c r="P246" t="s">
        <v>750</v>
      </c>
      <c r="Q246" t="s">
        <v>245</v>
      </c>
    </row>
    <row r="247" spans="1:17" x14ac:dyDescent="0.25">
      <c r="A247" t="s">
        <v>750</v>
      </c>
      <c r="B247" t="s">
        <v>86</v>
      </c>
      <c r="C247" s="4">
        <v>0.18445790527697378</v>
      </c>
      <c r="D247" s="4">
        <v>0.18445790527697378</v>
      </c>
      <c r="E247" s="4">
        <v>0.18445790527697378</v>
      </c>
      <c r="F247" s="4">
        <v>0.18445790527697378</v>
      </c>
      <c r="G247" s="4">
        <v>0.18445790527697378</v>
      </c>
      <c r="H247" s="4">
        <v>0.18445790527697378</v>
      </c>
      <c r="I247" s="4">
        <v>0.18445790527697378</v>
      </c>
      <c r="J247" s="4">
        <v>0.18445790527697378</v>
      </c>
      <c r="K247" s="4">
        <v>0.18445790527697378</v>
      </c>
      <c r="L247" s="4">
        <v>0.18445790527697378</v>
      </c>
      <c r="M247" s="4">
        <v>0.18445790527697378</v>
      </c>
      <c r="N247" t="s">
        <v>256</v>
      </c>
      <c r="O247" t="s">
        <v>751</v>
      </c>
      <c r="P247" t="s">
        <v>750</v>
      </c>
      <c r="Q247" t="s">
        <v>245</v>
      </c>
    </row>
    <row r="248" spans="1:17" x14ac:dyDescent="0.25">
      <c r="A248" t="s">
        <v>750</v>
      </c>
      <c r="B248" t="s">
        <v>87</v>
      </c>
      <c r="C248" s="4">
        <v>4.5607723832218793E-4</v>
      </c>
      <c r="D248" s="4">
        <v>4.5607723832218793E-4</v>
      </c>
      <c r="E248" s="4">
        <v>4.5607723832218793E-4</v>
      </c>
      <c r="F248" s="4">
        <v>4.5607723832218793E-4</v>
      </c>
      <c r="G248" s="4">
        <v>4.5607723832218793E-4</v>
      </c>
      <c r="H248" s="4">
        <v>4.5607723832218793E-4</v>
      </c>
      <c r="I248" s="4">
        <v>4.5607723832218793E-4</v>
      </c>
      <c r="J248" s="4">
        <v>4.5607723832218793E-4</v>
      </c>
      <c r="K248" s="4">
        <v>4.5607723832218793E-4</v>
      </c>
      <c r="L248" s="4">
        <v>4.5607723832218793E-4</v>
      </c>
      <c r="M248" s="4">
        <v>4.5607723832218793E-4</v>
      </c>
      <c r="N248" t="s">
        <v>256</v>
      </c>
      <c r="O248" t="s">
        <v>751</v>
      </c>
      <c r="P248" t="s">
        <v>750</v>
      </c>
      <c r="Q248" t="s">
        <v>245</v>
      </c>
    </row>
    <row r="249" spans="1:17" x14ac:dyDescent="0.25">
      <c r="A249" t="s">
        <v>750</v>
      </c>
      <c r="B249" t="s">
        <v>160</v>
      </c>
      <c r="C249" s="4">
        <v>2.7628145592584094E-5</v>
      </c>
      <c r="D249" s="4">
        <v>2.7628145592584094E-5</v>
      </c>
      <c r="E249" s="4">
        <v>2.7628145592584094E-5</v>
      </c>
      <c r="F249" s="4">
        <v>2.7628145592584094E-5</v>
      </c>
      <c r="G249" s="4">
        <v>2.7628145592584094E-5</v>
      </c>
      <c r="H249" s="4">
        <v>2.7628145592584094E-5</v>
      </c>
      <c r="I249" s="4">
        <v>2.7628145592584094E-5</v>
      </c>
      <c r="J249" s="4">
        <v>2.7628145592584094E-5</v>
      </c>
      <c r="K249" s="4">
        <v>2.7628145592584094E-5</v>
      </c>
      <c r="L249" s="4">
        <v>2.7628145592584094E-5</v>
      </c>
      <c r="M249" s="4">
        <v>2.7628145592584094E-5</v>
      </c>
      <c r="N249" t="s">
        <v>256</v>
      </c>
      <c r="O249" t="s">
        <v>751</v>
      </c>
      <c r="P249" t="s">
        <v>750</v>
      </c>
      <c r="Q249" t="s">
        <v>245</v>
      </c>
    </row>
    <row r="250" spans="1:17" x14ac:dyDescent="0.25">
      <c r="A250" t="s">
        <v>750</v>
      </c>
      <c r="B250" t="s">
        <v>166</v>
      </c>
      <c r="C250" s="4">
        <v>4.5790762830532098E-3</v>
      </c>
      <c r="D250" s="4">
        <v>4.5790762830532098E-3</v>
      </c>
      <c r="E250" s="4">
        <v>4.5790762830532098E-3</v>
      </c>
      <c r="F250" s="4">
        <v>4.5790762830532098E-3</v>
      </c>
      <c r="G250" s="4">
        <v>4.5790762830532098E-3</v>
      </c>
      <c r="H250" s="4">
        <v>4.5790762830532098E-3</v>
      </c>
      <c r="I250" s="4">
        <v>4.5790762830532098E-3</v>
      </c>
      <c r="J250" s="4">
        <v>4.5790762830532098E-3</v>
      </c>
      <c r="K250" s="4">
        <v>4.5790762830532098E-3</v>
      </c>
      <c r="L250" s="4">
        <v>4.5790762830532098E-3</v>
      </c>
      <c r="M250" s="4">
        <v>4.5790762830532098E-3</v>
      </c>
      <c r="N250" t="s">
        <v>256</v>
      </c>
      <c r="O250" t="s">
        <v>751</v>
      </c>
      <c r="P250" t="s">
        <v>750</v>
      </c>
      <c r="Q250" t="s">
        <v>245</v>
      </c>
    </row>
    <row r="251" spans="1:17" x14ac:dyDescent="0.25">
      <c r="A251" t="s">
        <v>750</v>
      </c>
      <c r="B251" t="s">
        <v>217</v>
      </c>
      <c r="C251" s="4">
        <v>1.3297185259526901E-2</v>
      </c>
      <c r="D251" s="4">
        <v>1.3297185259526901E-2</v>
      </c>
      <c r="E251" s="4">
        <v>1.3297185259526901E-2</v>
      </c>
      <c r="F251" s="4">
        <v>1.3297185259526901E-2</v>
      </c>
      <c r="G251" s="4">
        <v>1.3297185259526901E-2</v>
      </c>
      <c r="H251" s="4">
        <v>1.3297185259526901E-2</v>
      </c>
      <c r="I251" s="4">
        <v>1.3297185259526901E-2</v>
      </c>
      <c r="J251" s="4">
        <v>1.3297185259526901E-2</v>
      </c>
      <c r="K251" s="4">
        <v>1.3297185259526901E-2</v>
      </c>
      <c r="L251" s="4">
        <v>1.3297185259526901E-2</v>
      </c>
      <c r="M251" s="4">
        <v>1.3297185259526901E-2</v>
      </c>
      <c r="N251" t="s">
        <v>256</v>
      </c>
      <c r="O251" t="s">
        <v>751</v>
      </c>
      <c r="P251" t="s">
        <v>750</v>
      </c>
      <c r="Q251" t="s">
        <v>245</v>
      </c>
    </row>
    <row r="252" spans="1:17" x14ac:dyDescent="0.25">
      <c r="A252" t="s">
        <v>750</v>
      </c>
      <c r="B252" t="s">
        <v>674</v>
      </c>
      <c r="C252" s="4">
        <v>2.3746320191477847E-3</v>
      </c>
      <c r="D252" s="4">
        <v>2.3746320191477847E-3</v>
      </c>
      <c r="E252" s="4">
        <v>2.3746320191477847E-3</v>
      </c>
      <c r="F252" s="4">
        <v>2.3746320191477847E-3</v>
      </c>
      <c r="G252" s="4">
        <v>2.3746320191477847E-3</v>
      </c>
      <c r="H252" s="4">
        <v>2.3746320191477847E-3</v>
      </c>
      <c r="I252" s="4">
        <v>2.3746320191477847E-3</v>
      </c>
      <c r="J252" s="4">
        <v>2.3746320191477847E-3</v>
      </c>
      <c r="K252" s="4">
        <v>2.3746320191477847E-3</v>
      </c>
      <c r="L252" s="4">
        <v>2.3746320191477847E-3</v>
      </c>
      <c r="M252" s="4">
        <v>2.3746320191477847E-3</v>
      </c>
      <c r="N252" t="s">
        <v>256</v>
      </c>
      <c r="O252" t="s">
        <v>751</v>
      </c>
      <c r="P252" t="s">
        <v>750</v>
      </c>
      <c r="Q252" t="s">
        <v>245</v>
      </c>
    </row>
    <row r="253" spans="1:17" x14ac:dyDescent="0.25">
      <c r="A253" t="s">
        <v>750</v>
      </c>
      <c r="B253" t="s">
        <v>128</v>
      </c>
      <c r="C253" s="4">
        <v>1.4290420134095222E-4</v>
      </c>
      <c r="D253" s="4">
        <v>1.4290420134095222E-4</v>
      </c>
      <c r="E253" s="4">
        <v>1.4290420134095222E-4</v>
      </c>
      <c r="F253" s="4">
        <v>1.4290420134095222E-4</v>
      </c>
      <c r="G253" s="4">
        <v>1.4290420134095222E-4</v>
      </c>
      <c r="H253" s="4">
        <v>1.4290420134095222E-4</v>
      </c>
      <c r="I253" s="4">
        <v>1.4290420134095222E-4</v>
      </c>
      <c r="J253" s="4">
        <v>1.4290420134095222E-4</v>
      </c>
      <c r="K253" s="4">
        <v>1.4290420134095222E-4</v>
      </c>
      <c r="L253" s="4">
        <v>1.4290420134095222E-4</v>
      </c>
      <c r="M253" s="4">
        <v>1.4290420134095222E-4</v>
      </c>
      <c r="N253" t="s">
        <v>256</v>
      </c>
      <c r="O253" t="s">
        <v>751</v>
      </c>
      <c r="P253" t="s">
        <v>750</v>
      </c>
      <c r="Q253" t="s">
        <v>245</v>
      </c>
    </row>
    <row r="254" spans="1:17" x14ac:dyDescent="0.25">
      <c r="A254" t="s">
        <v>750</v>
      </c>
      <c r="B254" t="s">
        <v>91</v>
      </c>
      <c r="C254" s="4">
        <v>1.70464442100275E-3</v>
      </c>
      <c r="D254" s="4">
        <v>1.70464442100275E-3</v>
      </c>
      <c r="E254" s="4">
        <v>1.70464442100275E-3</v>
      </c>
      <c r="F254" s="4">
        <v>1.70464442100275E-3</v>
      </c>
      <c r="G254" s="4">
        <v>1.70464442100275E-3</v>
      </c>
      <c r="H254" s="4">
        <v>1.70464442100275E-3</v>
      </c>
      <c r="I254" s="4">
        <v>1.70464442100275E-3</v>
      </c>
      <c r="J254" s="4">
        <v>1.70464442100275E-3</v>
      </c>
      <c r="K254" s="4">
        <v>1.70464442100275E-3</v>
      </c>
      <c r="L254" s="4">
        <v>1.70464442100275E-3</v>
      </c>
      <c r="M254" s="4">
        <v>1.70464442100275E-3</v>
      </c>
      <c r="N254" t="s">
        <v>256</v>
      </c>
      <c r="O254" t="s">
        <v>751</v>
      </c>
      <c r="P254" t="s">
        <v>750</v>
      </c>
      <c r="Q254" t="s">
        <v>245</v>
      </c>
    </row>
    <row r="255" spans="1:17" x14ac:dyDescent="0.25">
      <c r="A255" t="s">
        <v>750</v>
      </c>
      <c r="B255" t="s">
        <v>169</v>
      </c>
      <c r="C255" s="4">
        <v>1.0523323496051354E-3</v>
      </c>
      <c r="D255" s="4">
        <v>1.0523323496051354E-3</v>
      </c>
      <c r="E255" s="4">
        <v>1.0523323496051354E-3</v>
      </c>
      <c r="F255" s="4">
        <v>1.0523323496051354E-3</v>
      </c>
      <c r="G255" s="4">
        <v>1.0523323496051354E-3</v>
      </c>
      <c r="H255" s="4">
        <v>1.0523323496051354E-3</v>
      </c>
      <c r="I255" s="4">
        <v>1.0523323496051354E-3</v>
      </c>
      <c r="J255" s="4">
        <v>1.0523323496051354E-3</v>
      </c>
      <c r="K255" s="4">
        <v>1.0523323496051354E-3</v>
      </c>
      <c r="L255" s="4">
        <v>1.0523323496051354E-3</v>
      </c>
      <c r="M255" s="4">
        <v>1.0523323496051354E-3</v>
      </c>
      <c r="N255" t="s">
        <v>256</v>
      </c>
      <c r="O255" t="s">
        <v>751</v>
      </c>
      <c r="P255" t="s">
        <v>750</v>
      </c>
      <c r="Q255" t="s">
        <v>245</v>
      </c>
    </row>
    <row r="256" spans="1:17" x14ac:dyDescent="0.25">
      <c r="A256" t="s">
        <v>750</v>
      </c>
      <c r="B256" t="s">
        <v>117</v>
      </c>
      <c r="C256" s="4">
        <v>1.8861327567057593E-2</v>
      </c>
      <c r="D256" s="4">
        <v>1.8861327567057593E-2</v>
      </c>
      <c r="E256" s="4">
        <v>1.8861327567057593E-2</v>
      </c>
      <c r="F256" s="4">
        <v>1.8861327567057593E-2</v>
      </c>
      <c r="G256" s="4">
        <v>1.8861327567057593E-2</v>
      </c>
      <c r="H256" s="4">
        <v>1.8861327567057593E-2</v>
      </c>
      <c r="I256" s="4">
        <v>1.8861327567057593E-2</v>
      </c>
      <c r="J256" s="4">
        <v>1.8861327567057593E-2</v>
      </c>
      <c r="K256" s="4">
        <v>1.8861327567057593E-2</v>
      </c>
      <c r="L256" s="4">
        <v>1.8861327567057593E-2</v>
      </c>
      <c r="M256" s="4">
        <v>1.8861327567057593E-2</v>
      </c>
      <c r="N256" t="s">
        <v>691</v>
      </c>
      <c r="O256" t="s">
        <v>751</v>
      </c>
      <c r="P256" t="s">
        <v>750</v>
      </c>
      <c r="Q256" t="s">
        <v>245</v>
      </c>
    </row>
    <row r="257" spans="1:17" x14ac:dyDescent="0.25">
      <c r="A257" t="s">
        <v>750</v>
      </c>
      <c r="B257" t="s">
        <v>93</v>
      </c>
      <c r="C257" s="4">
        <v>6.3473789514759973E-2</v>
      </c>
      <c r="D257" s="4">
        <v>6.3473789514759973E-2</v>
      </c>
      <c r="E257" s="4">
        <v>6.3473789514759973E-2</v>
      </c>
      <c r="F257" s="4">
        <v>6.3473789514759973E-2</v>
      </c>
      <c r="G257" s="4">
        <v>6.3473789514759973E-2</v>
      </c>
      <c r="H257" s="4">
        <v>6.3473789514759973E-2</v>
      </c>
      <c r="I257" s="4">
        <v>6.3473789514759973E-2</v>
      </c>
      <c r="J257" s="4">
        <v>6.3473789514759973E-2</v>
      </c>
      <c r="K257" s="4">
        <v>6.3473789514759973E-2</v>
      </c>
      <c r="L257" s="4">
        <v>6.3473789514759973E-2</v>
      </c>
      <c r="M257" s="4">
        <v>6.3473789514759973E-2</v>
      </c>
      <c r="N257" t="s">
        <v>256</v>
      </c>
      <c r="O257" t="s">
        <v>751</v>
      </c>
      <c r="P257" t="s">
        <v>750</v>
      </c>
      <c r="Q257" t="s">
        <v>245</v>
      </c>
    </row>
    <row r="258" spans="1:17" x14ac:dyDescent="0.25">
      <c r="A258" t="s">
        <v>750</v>
      </c>
      <c r="B258" t="s">
        <v>196</v>
      </c>
      <c r="C258" s="4">
        <v>4.6736768373309721E-4</v>
      </c>
      <c r="D258" s="4">
        <v>4.6736768373309721E-4</v>
      </c>
      <c r="E258" s="4">
        <v>4.6736768373309721E-4</v>
      </c>
      <c r="F258" s="4">
        <v>4.6736768373309721E-4</v>
      </c>
      <c r="G258" s="4">
        <v>4.6736768373309721E-4</v>
      </c>
      <c r="H258" s="4">
        <v>4.6736768373309721E-4</v>
      </c>
      <c r="I258" s="4">
        <v>4.6736768373309721E-4</v>
      </c>
      <c r="J258" s="4">
        <v>4.6736768373309721E-4</v>
      </c>
      <c r="K258" s="4">
        <v>4.6736768373309721E-4</v>
      </c>
      <c r="L258" s="4">
        <v>4.6736768373309721E-4</v>
      </c>
      <c r="M258" s="4">
        <v>4.6736768373309721E-4</v>
      </c>
      <c r="N258" t="s">
        <v>256</v>
      </c>
      <c r="O258" t="s">
        <v>751</v>
      </c>
      <c r="P258" t="s">
        <v>750</v>
      </c>
      <c r="Q258" t="s">
        <v>245</v>
      </c>
    </row>
    <row r="259" spans="1:17" x14ac:dyDescent="0.25">
      <c r="A259" t="s">
        <v>750</v>
      </c>
      <c r="B259" t="s">
        <v>96</v>
      </c>
      <c r="C259" s="4">
        <v>1.2517495882990769E-3</v>
      </c>
      <c r="D259" s="4">
        <v>1.2517495882990769E-3</v>
      </c>
      <c r="E259" s="4">
        <v>1.2517495882990769E-3</v>
      </c>
      <c r="F259" s="4">
        <v>1.2517495882990769E-3</v>
      </c>
      <c r="G259" s="4">
        <v>1.2517495882990769E-3</v>
      </c>
      <c r="H259" s="4">
        <v>1.2517495882990769E-3</v>
      </c>
      <c r="I259" s="4">
        <v>1.2517495882990769E-3</v>
      </c>
      <c r="J259" s="4">
        <v>1.2517495882990769E-3</v>
      </c>
      <c r="K259" s="4">
        <v>1.2517495882990769E-3</v>
      </c>
      <c r="L259" s="4">
        <v>1.2517495882990769E-3</v>
      </c>
      <c r="M259" s="4">
        <v>1.2517495882990769E-3</v>
      </c>
      <c r="N259" t="s">
        <v>256</v>
      </c>
      <c r="O259" t="s">
        <v>751</v>
      </c>
      <c r="P259" t="s">
        <v>750</v>
      </c>
      <c r="Q259" t="s">
        <v>245</v>
      </c>
    </row>
    <row r="260" spans="1:17" x14ac:dyDescent="0.25">
      <c r="A260" t="s">
        <v>750</v>
      </c>
      <c r="B260" t="s">
        <v>97</v>
      </c>
      <c r="C260" s="4">
        <v>0.17329726958314073</v>
      </c>
      <c r="D260" s="4">
        <v>0.17329726958314073</v>
      </c>
      <c r="E260" s="4">
        <v>0.17329726958314073</v>
      </c>
      <c r="F260" s="4">
        <v>0.17329726958314073</v>
      </c>
      <c r="G260" s="4">
        <v>0.17329726958314073</v>
      </c>
      <c r="H260" s="4">
        <v>0.17329726958314073</v>
      </c>
      <c r="I260" s="4">
        <v>0.17329726958314073</v>
      </c>
      <c r="J260" s="4">
        <v>0.17329726958314073</v>
      </c>
      <c r="K260" s="4">
        <v>0.17329726958314073</v>
      </c>
      <c r="L260" s="4">
        <v>0.17329726958314073</v>
      </c>
      <c r="M260" s="4">
        <v>0.17329726958314073</v>
      </c>
      <c r="N260" t="s">
        <v>256</v>
      </c>
      <c r="O260" t="s">
        <v>751</v>
      </c>
      <c r="P260" t="s">
        <v>750</v>
      </c>
      <c r="Q260" t="s">
        <v>245</v>
      </c>
    </row>
    <row r="261" spans="1:17" x14ac:dyDescent="0.25">
      <c r="A261" t="s">
        <v>750</v>
      </c>
      <c r="B261" t="s">
        <v>98</v>
      </c>
      <c r="C261" s="4">
        <v>3.0405149221479194E-4</v>
      </c>
      <c r="D261" s="4">
        <v>3.0405149221479194E-4</v>
      </c>
      <c r="E261" s="4">
        <v>3.0405149221479194E-4</v>
      </c>
      <c r="F261" s="4">
        <v>3.0405149221479194E-4</v>
      </c>
      <c r="G261" s="4">
        <v>3.0405149221479194E-4</v>
      </c>
      <c r="H261" s="4">
        <v>3.0405149221479194E-4</v>
      </c>
      <c r="I261" s="4">
        <v>3.0405149221479194E-4</v>
      </c>
      <c r="J261" s="4">
        <v>3.0405149221479194E-4</v>
      </c>
      <c r="K261" s="4">
        <v>3.0405149221479194E-4</v>
      </c>
      <c r="L261" s="4">
        <v>3.0405149221479194E-4</v>
      </c>
      <c r="M261" s="4">
        <v>3.0405149221479194E-4</v>
      </c>
      <c r="N261" t="s">
        <v>256</v>
      </c>
      <c r="O261" t="s">
        <v>751</v>
      </c>
      <c r="P261" t="s">
        <v>750</v>
      </c>
      <c r="Q261" t="s">
        <v>245</v>
      </c>
    </row>
    <row r="262" spans="1:17" x14ac:dyDescent="0.25">
      <c r="A262" t="s">
        <v>750</v>
      </c>
      <c r="B262" t="s">
        <v>99</v>
      </c>
      <c r="C262" s="4">
        <v>5.3440424728313271E-2</v>
      </c>
      <c r="D262" s="4">
        <v>5.3440424728313271E-2</v>
      </c>
      <c r="E262" s="4">
        <v>5.3440424728313271E-2</v>
      </c>
      <c r="F262" s="4">
        <v>5.3440424728313271E-2</v>
      </c>
      <c r="G262" s="4">
        <v>5.3440424728313271E-2</v>
      </c>
      <c r="H262" s="4">
        <v>5.3440424728313271E-2</v>
      </c>
      <c r="I262" s="4">
        <v>5.3440424728313271E-2</v>
      </c>
      <c r="J262" s="4">
        <v>5.3440424728313271E-2</v>
      </c>
      <c r="K262" s="4">
        <v>5.3440424728313271E-2</v>
      </c>
      <c r="L262" s="4">
        <v>5.3440424728313271E-2</v>
      </c>
      <c r="M262" s="4">
        <v>5.3440424728313271E-2</v>
      </c>
      <c r="N262" t="s">
        <v>256</v>
      </c>
      <c r="O262" t="s">
        <v>751</v>
      </c>
      <c r="P262" t="s">
        <v>750</v>
      </c>
      <c r="Q262" t="s">
        <v>245</v>
      </c>
    </row>
    <row r="263" spans="1:17" x14ac:dyDescent="0.25">
      <c r="A263" t="s">
        <v>750</v>
      </c>
      <c r="B263" t="s">
        <v>234</v>
      </c>
      <c r="C263" s="4">
        <v>3.1925406682553153E-4</v>
      </c>
      <c r="D263" s="4">
        <v>3.1925406682553153E-4</v>
      </c>
      <c r="E263" s="4">
        <v>3.1925406682553153E-4</v>
      </c>
      <c r="F263" s="4">
        <v>3.1925406682553153E-4</v>
      </c>
      <c r="G263" s="4">
        <v>3.1925406682553153E-4</v>
      </c>
      <c r="H263" s="4">
        <v>3.1925406682553153E-4</v>
      </c>
      <c r="I263" s="4">
        <v>3.1925406682553153E-4</v>
      </c>
      <c r="J263" s="4">
        <v>3.1925406682553153E-4</v>
      </c>
      <c r="K263" s="4">
        <v>3.1925406682553153E-4</v>
      </c>
      <c r="L263" s="4">
        <v>3.1925406682553153E-4</v>
      </c>
      <c r="M263" s="4">
        <v>3.1925406682553153E-4</v>
      </c>
      <c r="N263" t="s">
        <v>256</v>
      </c>
      <c r="O263" t="s">
        <v>751</v>
      </c>
      <c r="P263" t="s">
        <v>750</v>
      </c>
      <c r="Q263" t="s">
        <v>245</v>
      </c>
    </row>
    <row r="264" spans="1:17" x14ac:dyDescent="0.25">
      <c r="A264" t="s">
        <v>750</v>
      </c>
      <c r="B264" t="s">
        <v>182</v>
      </c>
      <c r="C264" s="4">
        <v>3.720921351426181E-3</v>
      </c>
      <c r="D264" s="4">
        <v>3.720921351426181E-3</v>
      </c>
      <c r="E264" s="4">
        <v>3.720921351426181E-3</v>
      </c>
      <c r="F264" s="4">
        <v>3.720921351426181E-3</v>
      </c>
      <c r="G264" s="4">
        <v>3.720921351426181E-3</v>
      </c>
      <c r="H264" s="4">
        <v>3.720921351426181E-3</v>
      </c>
      <c r="I264" s="4">
        <v>3.720921351426181E-3</v>
      </c>
      <c r="J264" s="4">
        <v>3.720921351426181E-3</v>
      </c>
      <c r="K264" s="4">
        <v>3.720921351426181E-3</v>
      </c>
      <c r="L264" s="4">
        <v>3.720921351426181E-3</v>
      </c>
      <c r="M264" s="4">
        <v>3.720921351426181E-3</v>
      </c>
      <c r="N264" t="s">
        <v>256</v>
      </c>
      <c r="O264" t="s">
        <v>751</v>
      </c>
      <c r="P264" t="s">
        <v>750</v>
      </c>
      <c r="Q264" t="s">
        <v>245</v>
      </c>
    </row>
    <row r="265" spans="1:17" x14ac:dyDescent="0.25">
      <c r="A265" t="s">
        <v>750</v>
      </c>
      <c r="B265" t="s">
        <v>119</v>
      </c>
      <c r="C265" s="4">
        <v>2.1283604455035438E-2</v>
      </c>
      <c r="D265" s="4">
        <v>2.1283604455035438E-2</v>
      </c>
      <c r="E265" s="4">
        <v>2.1283604455035438E-2</v>
      </c>
      <c r="F265" s="4">
        <v>2.1283604455035438E-2</v>
      </c>
      <c r="G265" s="4">
        <v>2.1283604455035438E-2</v>
      </c>
      <c r="H265" s="4">
        <v>2.1283604455035438E-2</v>
      </c>
      <c r="I265" s="4">
        <v>2.1283604455035438E-2</v>
      </c>
      <c r="J265" s="4">
        <v>2.1283604455035438E-2</v>
      </c>
      <c r="K265" s="4">
        <v>2.1283604455035438E-2</v>
      </c>
      <c r="L265" s="4">
        <v>2.1283604455035438E-2</v>
      </c>
      <c r="M265" s="4">
        <v>2.1283604455035438E-2</v>
      </c>
      <c r="N265" t="s">
        <v>256</v>
      </c>
      <c r="O265" t="s">
        <v>751</v>
      </c>
      <c r="P265" t="s">
        <v>750</v>
      </c>
      <c r="Q265" t="s">
        <v>245</v>
      </c>
    </row>
    <row r="266" spans="1:17" x14ac:dyDescent="0.25">
      <c r="A266" t="s">
        <v>750</v>
      </c>
      <c r="B266" t="s">
        <v>198</v>
      </c>
      <c r="C266" s="4">
        <v>5.5742773572711853E-6</v>
      </c>
      <c r="D266" s="4">
        <v>5.5742773572711853E-6</v>
      </c>
      <c r="E266" s="4">
        <v>5.5742773572711853E-6</v>
      </c>
      <c r="F266" s="4">
        <v>5.5742773572711853E-6</v>
      </c>
      <c r="G266" s="4">
        <v>5.5742773572711853E-6</v>
      </c>
      <c r="H266" s="4">
        <v>5.5742773572711853E-6</v>
      </c>
      <c r="I266" s="4">
        <v>5.5742773572711853E-6</v>
      </c>
      <c r="J266" s="4">
        <v>5.5742773572711853E-6</v>
      </c>
      <c r="K266" s="4">
        <v>5.5742773572711853E-6</v>
      </c>
      <c r="L266" s="4">
        <v>5.5742773572711853E-6</v>
      </c>
      <c r="M266" s="4">
        <v>5.5742773572711853E-6</v>
      </c>
      <c r="N266" t="s">
        <v>256</v>
      </c>
      <c r="O266" t="s">
        <v>751</v>
      </c>
      <c r="P266" t="s">
        <v>750</v>
      </c>
      <c r="Q266" t="s">
        <v>245</v>
      </c>
    </row>
    <row r="267" spans="1:17" x14ac:dyDescent="0.25">
      <c r="A267" t="s">
        <v>750</v>
      </c>
      <c r="B267" t="s">
        <v>148</v>
      </c>
      <c r="C267" s="4">
        <v>1.6476854414611791E-3</v>
      </c>
      <c r="D267" s="4">
        <v>1.6476854414611791E-3</v>
      </c>
      <c r="E267" s="4">
        <v>1.6476854414611791E-3</v>
      </c>
      <c r="F267" s="4">
        <v>1.6476854414611791E-3</v>
      </c>
      <c r="G267" s="4">
        <v>1.6476854414611791E-3</v>
      </c>
      <c r="H267" s="4">
        <v>1.6476854414611791E-3</v>
      </c>
      <c r="I267" s="4">
        <v>1.6476854414611791E-3</v>
      </c>
      <c r="J267" s="4">
        <v>1.6476854414611791E-3</v>
      </c>
      <c r="K267" s="4">
        <v>1.6476854414611791E-3</v>
      </c>
      <c r="L267" s="4">
        <v>1.6476854414611791E-3</v>
      </c>
      <c r="M267" s="4">
        <v>1.6476854414611791E-3</v>
      </c>
      <c r="N267" t="s">
        <v>256</v>
      </c>
      <c r="O267" t="s">
        <v>751</v>
      </c>
      <c r="P267" t="s">
        <v>750</v>
      </c>
      <c r="Q267" t="s">
        <v>245</v>
      </c>
    </row>
    <row r="268" spans="1:17" x14ac:dyDescent="0.25">
      <c r="A268" t="s">
        <v>750</v>
      </c>
      <c r="B268" t="s">
        <v>150</v>
      </c>
      <c r="C268" s="4">
        <v>6.0487497108723687E-3</v>
      </c>
      <c r="D268" s="4">
        <v>6.0487497108723687E-3</v>
      </c>
      <c r="E268" s="4">
        <v>6.0487497108723687E-3</v>
      </c>
      <c r="F268" s="4">
        <v>6.0487497108723687E-3</v>
      </c>
      <c r="G268" s="4">
        <v>6.0487497108723687E-3</v>
      </c>
      <c r="H268" s="4">
        <v>6.0487497108723687E-3</v>
      </c>
      <c r="I268" s="4">
        <v>6.0487497108723687E-3</v>
      </c>
      <c r="J268" s="4">
        <v>6.0487497108723687E-3</v>
      </c>
      <c r="K268" s="4">
        <v>6.0487497108723687E-3</v>
      </c>
      <c r="L268" s="4">
        <v>6.0487497108723687E-3</v>
      </c>
      <c r="M268" s="4">
        <v>6.0487497108723687E-3</v>
      </c>
      <c r="N268" t="s">
        <v>256</v>
      </c>
      <c r="O268" t="s">
        <v>751</v>
      </c>
      <c r="P268" t="s">
        <v>750</v>
      </c>
      <c r="Q268" t="s">
        <v>245</v>
      </c>
    </row>
    <row r="269" spans="1:17" x14ac:dyDescent="0.25">
      <c r="A269" t="s">
        <v>750</v>
      </c>
      <c r="B269" t="s">
        <v>161</v>
      </c>
      <c r="C269" s="4">
        <v>8.8719691665841167E-3</v>
      </c>
      <c r="D269" s="4">
        <v>8.8719691665841167E-3</v>
      </c>
      <c r="E269" s="4">
        <v>8.8719691665841167E-3</v>
      </c>
      <c r="F269" s="4">
        <v>8.8719691665841167E-3</v>
      </c>
      <c r="G269" s="4">
        <v>8.8719691665841167E-3</v>
      </c>
      <c r="H269" s="4">
        <v>8.8719691665841167E-3</v>
      </c>
      <c r="I269" s="4">
        <v>8.8719691665841167E-3</v>
      </c>
      <c r="J269" s="4">
        <v>8.8719691665841167E-3</v>
      </c>
      <c r="K269" s="4">
        <v>8.8719691665841167E-3</v>
      </c>
      <c r="L269" s="4">
        <v>8.8719691665841167E-3</v>
      </c>
      <c r="M269" s="4">
        <v>8.8719691665841167E-3</v>
      </c>
      <c r="N269" t="s">
        <v>256</v>
      </c>
      <c r="O269" t="s">
        <v>751</v>
      </c>
      <c r="P269" t="s">
        <v>750</v>
      </c>
      <c r="Q269" t="s">
        <v>245</v>
      </c>
    </row>
    <row r="270" spans="1:17" x14ac:dyDescent="0.25">
      <c r="A270" t="s">
        <v>750</v>
      </c>
      <c r="B270" t="s">
        <v>105</v>
      </c>
      <c r="C270" s="4">
        <v>3.6576482358962829E-3</v>
      </c>
      <c r="D270" s="4">
        <v>3.6576482358962829E-3</v>
      </c>
      <c r="E270" s="4">
        <v>3.6576482358962829E-3</v>
      </c>
      <c r="F270" s="4">
        <v>3.6576482358962829E-3</v>
      </c>
      <c r="G270" s="4">
        <v>3.6576482358962829E-3</v>
      </c>
      <c r="H270" s="4">
        <v>3.6576482358962829E-3</v>
      </c>
      <c r="I270" s="4">
        <v>3.6576482358962829E-3</v>
      </c>
      <c r="J270" s="4">
        <v>3.6576482358962829E-3</v>
      </c>
      <c r="K270" s="4">
        <v>3.6576482358962829E-3</v>
      </c>
      <c r="L270" s="4">
        <v>3.6576482358962829E-3</v>
      </c>
      <c r="M270" s="4">
        <v>3.6576482358962829E-3</v>
      </c>
      <c r="N270" t="s">
        <v>256</v>
      </c>
      <c r="O270" t="s">
        <v>751</v>
      </c>
      <c r="P270" t="s">
        <v>750</v>
      </c>
      <c r="Q270" t="s">
        <v>245</v>
      </c>
    </row>
    <row r="271" spans="1:17" x14ac:dyDescent="0.25">
      <c r="A271" t="s">
        <v>750</v>
      </c>
      <c r="B271" t="s">
        <v>174</v>
      </c>
      <c r="C271" s="4">
        <v>1.7634986548457934E-5</v>
      </c>
      <c r="D271" s="4">
        <v>1.7634986548457934E-5</v>
      </c>
      <c r="E271" s="4">
        <v>1.7634986548457934E-5</v>
      </c>
      <c r="F271" s="4">
        <v>1.7634986548457934E-5</v>
      </c>
      <c r="G271" s="4">
        <v>1.7634986548457934E-5</v>
      </c>
      <c r="H271" s="4">
        <v>1.7634986548457934E-5</v>
      </c>
      <c r="I271" s="4">
        <v>1.7634986548457934E-5</v>
      </c>
      <c r="J271" s="4">
        <v>1.7634986548457934E-5</v>
      </c>
      <c r="K271" s="4">
        <v>1.7634986548457934E-5</v>
      </c>
      <c r="L271" s="4">
        <v>1.7634986548457934E-5</v>
      </c>
      <c r="M271" s="4">
        <v>1.7634986548457934E-5</v>
      </c>
      <c r="N271" t="s">
        <v>256</v>
      </c>
      <c r="O271" t="s">
        <v>751</v>
      </c>
      <c r="P271" t="s">
        <v>750</v>
      </c>
      <c r="Q271" t="s">
        <v>245</v>
      </c>
    </row>
    <row r="272" spans="1:17" x14ac:dyDescent="0.25">
      <c r="A272" t="s">
        <v>750</v>
      </c>
      <c r="B272" t="s">
        <v>131</v>
      </c>
      <c r="C272" s="4">
        <v>3.8006436526848992E-5</v>
      </c>
      <c r="D272" s="4">
        <v>3.8006436526848992E-5</v>
      </c>
      <c r="E272" s="4">
        <v>3.8006436526848992E-5</v>
      </c>
      <c r="F272" s="4">
        <v>3.8006436526848992E-5</v>
      </c>
      <c r="G272" s="4">
        <v>3.8006436526848992E-5</v>
      </c>
      <c r="H272" s="4">
        <v>3.8006436526848992E-5</v>
      </c>
      <c r="I272" s="4">
        <v>3.8006436526848992E-5</v>
      </c>
      <c r="J272" s="4">
        <v>3.8006436526848992E-5</v>
      </c>
      <c r="K272" s="4">
        <v>3.8006436526848992E-5</v>
      </c>
      <c r="L272" s="4">
        <v>3.8006436526848992E-5</v>
      </c>
      <c r="M272" s="4">
        <v>3.8006436526848992E-5</v>
      </c>
      <c r="N272" t="s">
        <v>256</v>
      </c>
      <c r="O272" t="s">
        <v>751</v>
      </c>
      <c r="P272" t="s">
        <v>750</v>
      </c>
      <c r="Q272" t="s">
        <v>245</v>
      </c>
    </row>
    <row r="273" spans="1:17" x14ac:dyDescent="0.25">
      <c r="A273" t="s">
        <v>750</v>
      </c>
      <c r="B273" t="s">
        <v>176</v>
      </c>
      <c r="C273" s="4">
        <v>6.8259560002220795E-5</v>
      </c>
      <c r="D273" s="4">
        <v>6.8259560002220795E-5</v>
      </c>
      <c r="E273" s="4">
        <v>6.8259560002220795E-5</v>
      </c>
      <c r="F273" s="4">
        <v>6.8259560002220795E-5</v>
      </c>
      <c r="G273" s="4">
        <v>6.8259560002220795E-5</v>
      </c>
      <c r="H273" s="4">
        <v>6.8259560002220795E-5</v>
      </c>
      <c r="I273" s="4">
        <v>6.8259560002220795E-5</v>
      </c>
      <c r="J273" s="4">
        <v>6.8259560002220795E-5</v>
      </c>
      <c r="K273" s="4">
        <v>6.8259560002220795E-5</v>
      </c>
      <c r="L273" s="4">
        <v>6.8259560002220795E-5</v>
      </c>
      <c r="M273" s="4">
        <v>6.8259560002220795E-5</v>
      </c>
      <c r="N273" t="s">
        <v>256</v>
      </c>
      <c r="O273" t="s">
        <v>751</v>
      </c>
      <c r="P273" t="s">
        <v>750</v>
      </c>
      <c r="Q273" t="s">
        <v>245</v>
      </c>
    </row>
    <row r="274" spans="1:17" x14ac:dyDescent="0.25">
      <c r="A274" t="s">
        <v>750</v>
      </c>
      <c r="B274" t="s">
        <v>132</v>
      </c>
      <c r="C274" s="4">
        <v>1.6253579268828727E-4</v>
      </c>
      <c r="D274" s="4">
        <v>1.6253579268828727E-4</v>
      </c>
      <c r="E274" s="4">
        <v>1.6253579268828727E-4</v>
      </c>
      <c r="F274" s="4">
        <v>1.6253579268828727E-4</v>
      </c>
      <c r="G274" s="4">
        <v>1.6253579268828727E-4</v>
      </c>
      <c r="H274" s="4">
        <v>1.6253579268828727E-4</v>
      </c>
      <c r="I274" s="4">
        <v>1.6253579268828727E-4</v>
      </c>
      <c r="J274" s="4">
        <v>1.6253579268828727E-4</v>
      </c>
      <c r="K274" s="4">
        <v>1.6253579268828727E-4</v>
      </c>
      <c r="L274" s="4">
        <v>1.6253579268828727E-4</v>
      </c>
      <c r="M274" s="4">
        <v>1.6253579268828727E-4</v>
      </c>
      <c r="N274" t="s">
        <v>256</v>
      </c>
      <c r="O274" t="s">
        <v>751</v>
      </c>
      <c r="P274" t="s">
        <v>750</v>
      </c>
      <c r="Q274" t="s">
        <v>245</v>
      </c>
    </row>
    <row r="275" spans="1:17" x14ac:dyDescent="0.25">
      <c r="A275" t="s">
        <v>750</v>
      </c>
      <c r="B275" t="s">
        <v>106</v>
      </c>
      <c r="C275" s="4">
        <v>3.3653331312809816E-3</v>
      </c>
      <c r="D275" s="4">
        <v>3.3653331312809816E-3</v>
      </c>
      <c r="E275" s="4">
        <v>3.3653331312809816E-3</v>
      </c>
      <c r="F275" s="4">
        <v>3.3653331312809816E-3</v>
      </c>
      <c r="G275" s="4">
        <v>3.3653331312809816E-3</v>
      </c>
      <c r="H275" s="4">
        <v>3.3653331312809816E-3</v>
      </c>
      <c r="I275" s="4">
        <v>3.3653331312809816E-3</v>
      </c>
      <c r="J275" s="4">
        <v>3.3653331312809816E-3</v>
      </c>
      <c r="K275" s="4">
        <v>3.3653331312809816E-3</v>
      </c>
      <c r="L275" s="4">
        <v>3.3653331312809816E-3</v>
      </c>
      <c r="M275" s="4">
        <v>3.3653331312809816E-3</v>
      </c>
      <c r="N275" t="s">
        <v>256</v>
      </c>
      <c r="O275" t="s">
        <v>751</v>
      </c>
      <c r="P275" t="s">
        <v>750</v>
      </c>
      <c r="Q275" t="s">
        <v>245</v>
      </c>
    </row>
    <row r="276" spans="1:17" x14ac:dyDescent="0.25">
      <c r="A276" t="s">
        <v>750</v>
      </c>
      <c r="B276" t="s">
        <v>146</v>
      </c>
      <c r="C276" s="4">
        <v>1.3353738837078852E-3</v>
      </c>
      <c r="D276" s="4">
        <v>1.3353738837078852E-3</v>
      </c>
      <c r="E276" s="4">
        <v>1.3353738837078852E-3</v>
      </c>
      <c r="F276" s="4">
        <v>1.3353738837078852E-3</v>
      </c>
      <c r="G276" s="4">
        <v>1.3353738837078852E-3</v>
      </c>
      <c r="H276" s="4">
        <v>1.3353738837078852E-3</v>
      </c>
      <c r="I276" s="4">
        <v>1.3353738837078852E-3</v>
      </c>
      <c r="J276" s="4">
        <v>1.3353738837078852E-3</v>
      </c>
      <c r="K276" s="4">
        <v>1.3353738837078852E-3</v>
      </c>
      <c r="L276" s="4">
        <v>1.3353738837078852E-3</v>
      </c>
      <c r="M276" s="4">
        <v>1.3353738837078852E-3</v>
      </c>
      <c r="N276" t="s">
        <v>256</v>
      </c>
      <c r="O276" t="s">
        <v>751</v>
      </c>
      <c r="P276" t="s">
        <v>750</v>
      </c>
      <c r="Q276" t="s">
        <v>245</v>
      </c>
    </row>
    <row r="277" spans="1:17" x14ac:dyDescent="0.25">
      <c r="A277" t="s">
        <v>750</v>
      </c>
      <c r="B277" t="s">
        <v>156</v>
      </c>
      <c r="C277" s="4">
        <v>3.9090886849081754E-5</v>
      </c>
      <c r="D277" s="4">
        <v>3.9090886849081754E-5</v>
      </c>
      <c r="E277" s="4">
        <v>3.9090886849081754E-5</v>
      </c>
      <c r="F277" s="4">
        <v>3.9090886849081754E-5</v>
      </c>
      <c r="G277" s="4">
        <v>3.9090886849081754E-5</v>
      </c>
      <c r="H277" s="4">
        <v>3.9090886849081754E-5</v>
      </c>
      <c r="I277" s="4">
        <v>3.9090886849081754E-5</v>
      </c>
      <c r="J277" s="4">
        <v>3.9090886849081754E-5</v>
      </c>
      <c r="K277" s="4">
        <v>3.9090886849081754E-5</v>
      </c>
      <c r="L277" s="4">
        <v>3.9090886849081754E-5</v>
      </c>
      <c r="M277" s="4">
        <v>3.9090886849081754E-5</v>
      </c>
      <c r="N277" t="s">
        <v>256</v>
      </c>
      <c r="O277" t="s">
        <v>751</v>
      </c>
      <c r="P277" t="s">
        <v>750</v>
      </c>
      <c r="Q277" t="s">
        <v>245</v>
      </c>
    </row>
    <row r="278" spans="1:17" x14ac:dyDescent="0.25">
      <c r="A278" t="s">
        <v>750</v>
      </c>
      <c r="B278" t="s">
        <v>151</v>
      </c>
      <c r="C278" s="4">
        <v>2.5134923356422803E-5</v>
      </c>
      <c r="D278" s="4">
        <v>2.5134923356422803E-5</v>
      </c>
      <c r="E278" s="4">
        <v>2.5134923356422803E-5</v>
      </c>
      <c r="F278" s="4">
        <v>2.5134923356422803E-5</v>
      </c>
      <c r="G278" s="4">
        <v>2.5134923356422803E-5</v>
      </c>
      <c r="H278" s="4">
        <v>2.5134923356422803E-5</v>
      </c>
      <c r="I278" s="4">
        <v>2.5134923356422803E-5</v>
      </c>
      <c r="J278" s="4">
        <v>2.5134923356422803E-5</v>
      </c>
      <c r="K278" s="4">
        <v>2.5134923356422803E-5</v>
      </c>
      <c r="L278" s="4">
        <v>2.5134923356422803E-5</v>
      </c>
      <c r="M278" s="4">
        <v>2.5134923356422803E-5</v>
      </c>
      <c r="N278" t="s">
        <v>256</v>
      </c>
      <c r="O278" t="s">
        <v>751</v>
      </c>
      <c r="P278" t="s">
        <v>750</v>
      </c>
      <c r="Q278" t="s">
        <v>245</v>
      </c>
    </row>
    <row r="279" spans="1:17" x14ac:dyDescent="0.25">
      <c r="A279" t="s">
        <v>750</v>
      </c>
      <c r="B279" t="s">
        <v>120</v>
      </c>
      <c r="C279" s="4">
        <v>2.1353840349737055E-3</v>
      </c>
      <c r="D279" s="4">
        <v>2.1353840349737055E-3</v>
      </c>
      <c r="E279" s="4">
        <v>2.1353840349737055E-3</v>
      </c>
      <c r="F279" s="4">
        <v>2.1353840349737055E-3</v>
      </c>
      <c r="G279" s="4">
        <v>2.1353840349737055E-3</v>
      </c>
      <c r="H279" s="4">
        <v>2.1353840349737055E-3</v>
      </c>
      <c r="I279" s="4">
        <v>2.1353840349737055E-3</v>
      </c>
      <c r="J279" s="4">
        <v>2.1353840349737055E-3</v>
      </c>
      <c r="K279" s="4">
        <v>2.1353840349737055E-3</v>
      </c>
      <c r="L279" s="4">
        <v>2.1353840349737055E-3</v>
      </c>
      <c r="M279" s="4">
        <v>2.1353840349737055E-3</v>
      </c>
      <c r="N279" t="s">
        <v>256</v>
      </c>
      <c r="O279" t="s">
        <v>751</v>
      </c>
      <c r="P279" t="s">
        <v>750</v>
      </c>
      <c r="Q279" t="s">
        <v>245</v>
      </c>
    </row>
    <row r="280" spans="1:17" x14ac:dyDescent="0.25">
      <c r="A280" t="s">
        <v>750</v>
      </c>
      <c r="B280" t="s">
        <v>107</v>
      </c>
      <c r="C280" s="4">
        <v>2.9503129794575312E-3</v>
      </c>
      <c r="D280" s="4">
        <v>2.9503129794575312E-3</v>
      </c>
      <c r="E280" s="4">
        <v>2.9503129794575312E-3</v>
      </c>
      <c r="F280" s="4">
        <v>2.9503129794575312E-3</v>
      </c>
      <c r="G280" s="4">
        <v>2.9503129794575312E-3</v>
      </c>
      <c r="H280" s="4">
        <v>2.9503129794575312E-3</v>
      </c>
      <c r="I280" s="4">
        <v>2.9503129794575312E-3</v>
      </c>
      <c r="J280" s="4">
        <v>2.9503129794575312E-3</v>
      </c>
      <c r="K280" s="4">
        <v>2.9503129794575312E-3</v>
      </c>
      <c r="L280" s="4">
        <v>2.9503129794575312E-3</v>
      </c>
      <c r="M280" s="4">
        <v>2.9503129794575312E-3</v>
      </c>
      <c r="N280" t="s">
        <v>256</v>
      </c>
      <c r="O280" t="s">
        <v>751</v>
      </c>
      <c r="P280" t="s">
        <v>750</v>
      </c>
      <c r="Q280" t="s">
        <v>245</v>
      </c>
    </row>
    <row r="281" spans="1:17" x14ac:dyDescent="0.25">
      <c r="A281" t="s">
        <v>750</v>
      </c>
      <c r="B281" t="s">
        <v>135</v>
      </c>
      <c r="C281" s="4">
        <v>1.3130281260400462E-2</v>
      </c>
      <c r="D281" s="4">
        <v>1.3130281260400462E-2</v>
      </c>
      <c r="E281" s="4">
        <v>1.3130281260400462E-2</v>
      </c>
      <c r="F281" s="4">
        <v>1.3130281260400462E-2</v>
      </c>
      <c r="G281" s="4">
        <v>1.3130281260400462E-2</v>
      </c>
      <c r="H281" s="4">
        <v>1.3130281260400462E-2</v>
      </c>
      <c r="I281" s="4">
        <v>1.3130281260400462E-2</v>
      </c>
      <c r="J281" s="4">
        <v>1.3130281260400462E-2</v>
      </c>
      <c r="K281" s="4">
        <v>1.3130281260400462E-2</v>
      </c>
      <c r="L281" s="4">
        <v>1.3130281260400462E-2</v>
      </c>
      <c r="M281" s="4">
        <v>1.3130281260400462E-2</v>
      </c>
      <c r="N281" t="s">
        <v>256</v>
      </c>
      <c r="O281" t="s">
        <v>751</v>
      </c>
      <c r="P281" t="s">
        <v>750</v>
      </c>
      <c r="Q281" t="s">
        <v>245</v>
      </c>
    </row>
    <row r="282" spans="1:17" x14ac:dyDescent="0.25">
      <c r="A282" t="s">
        <v>750</v>
      </c>
      <c r="B282" t="s">
        <v>136</v>
      </c>
      <c r="C282" s="4">
        <v>5.1790104173919559E-6</v>
      </c>
      <c r="D282" s="4">
        <v>5.1790104173919559E-6</v>
      </c>
      <c r="E282" s="4">
        <v>5.1790104173919559E-6</v>
      </c>
      <c r="F282" s="4">
        <v>5.1790104173919559E-6</v>
      </c>
      <c r="G282" s="4">
        <v>5.1790104173919559E-6</v>
      </c>
      <c r="H282" s="4">
        <v>5.1790104173919559E-6</v>
      </c>
      <c r="I282" s="4">
        <v>5.1790104173919559E-6</v>
      </c>
      <c r="J282" s="4">
        <v>5.1790104173919559E-6</v>
      </c>
      <c r="K282" s="4">
        <v>5.1790104173919559E-6</v>
      </c>
      <c r="L282" s="4">
        <v>5.1790104173919559E-6</v>
      </c>
      <c r="M282" s="4">
        <v>5.1790104173919559E-6</v>
      </c>
      <c r="N282" t="s">
        <v>256</v>
      </c>
      <c r="O282" t="s">
        <v>751</v>
      </c>
      <c r="P282" t="s">
        <v>750</v>
      </c>
      <c r="Q282" t="s">
        <v>245</v>
      </c>
    </row>
    <row r="283" spans="1:17" x14ac:dyDescent="0.25">
      <c r="A283" t="s">
        <v>750</v>
      </c>
      <c r="B283" t="s">
        <v>137</v>
      </c>
      <c r="C283" s="4">
        <v>6.3635443558120834E-3</v>
      </c>
      <c r="D283" s="4">
        <v>6.3635443558120834E-3</v>
      </c>
      <c r="E283" s="4">
        <v>6.3635443558120834E-3</v>
      </c>
      <c r="F283" s="4">
        <v>6.3635443558120834E-3</v>
      </c>
      <c r="G283" s="4">
        <v>6.3635443558120834E-3</v>
      </c>
      <c r="H283" s="4">
        <v>6.3635443558120834E-3</v>
      </c>
      <c r="I283" s="4">
        <v>6.3635443558120834E-3</v>
      </c>
      <c r="J283" s="4">
        <v>6.3635443558120834E-3</v>
      </c>
      <c r="K283" s="4">
        <v>6.3635443558120834E-3</v>
      </c>
      <c r="L283" s="4">
        <v>6.3635443558120834E-3</v>
      </c>
      <c r="M283" s="4">
        <v>6.3635443558120834E-3</v>
      </c>
      <c r="N283" t="s">
        <v>256</v>
      </c>
      <c r="O283" t="s">
        <v>751</v>
      </c>
      <c r="P283" t="s">
        <v>750</v>
      </c>
      <c r="Q283" t="s">
        <v>245</v>
      </c>
    </row>
    <row r="284" spans="1:17" x14ac:dyDescent="0.25">
      <c r="A284" t="s">
        <v>750</v>
      </c>
      <c r="B284" t="s">
        <v>121</v>
      </c>
      <c r="C284" s="4">
        <v>9.0592142105397257E-3</v>
      </c>
      <c r="D284" s="4">
        <v>9.0592142105397257E-3</v>
      </c>
      <c r="E284" s="4">
        <v>9.0592142105397257E-3</v>
      </c>
      <c r="F284" s="4">
        <v>9.0592142105397257E-3</v>
      </c>
      <c r="G284" s="4">
        <v>9.0592142105397257E-3</v>
      </c>
      <c r="H284" s="4">
        <v>9.0592142105397257E-3</v>
      </c>
      <c r="I284" s="4">
        <v>9.0592142105397257E-3</v>
      </c>
      <c r="J284" s="4">
        <v>9.0592142105397257E-3</v>
      </c>
      <c r="K284" s="4">
        <v>9.0592142105397257E-3</v>
      </c>
      <c r="L284" s="4">
        <v>9.0592142105397257E-3</v>
      </c>
      <c r="M284" s="4">
        <v>9.0592142105397257E-3</v>
      </c>
      <c r="N284" t="s">
        <v>256</v>
      </c>
      <c r="O284" t="s">
        <v>751</v>
      </c>
      <c r="P284" t="s">
        <v>750</v>
      </c>
      <c r="Q284" t="s">
        <v>245</v>
      </c>
    </row>
    <row r="285" spans="1:17" x14ac:dyDescent="0.25">
      <c r="A285" t="s">
        <v>750</v>
      </c>
      <c r="B285" t="s">
        <v>215</v>
      </c>
      <c r="C285" s="4">
        <v>0</v>
      </c>
      <c r="D285" s="4">
        <v>0</v>
      </c>
      <c r="E285" s="4">
        <v>0</v>
      </c>
      <c r="F285" s="4">
        <v>0</v>
      </c>
      <c r="G285" s="4">
        <v>0</v>
      </c>
      <c r="H285" s="4">
        <v>0</v>
      </c>
      <c r="I285" s="4">
        <v>0</v>
      </c>
      <c r="J285" s="4">
        <v>0</v>
      </c>
      <c r="K285" s="4">
        <v>0</v>
      </c>
      <c r="L285" s="4">
        <v>0</v>
      </c>
      <c r="M285" s="4">
        <v>0</v>
      </c>
      <c r="N285" t="s">
        <v>256</v>
      </c>
      <c r="O285" t="s">
        <v>751</v>
      </c>
      <c r="P285" t="s">
        <v>750</v>
      </c>
      <c r="Q285" t="s">
        <v>245</v>
      </c>
    </row>
    <row r="286" spans="1:17" x14ac:dyDescent="0.25">
      <c r="A286" t="s">
        <v>750</v>
      </c>
      <c r="B286" t="s">
        <v>112</v>
      </c>
      <c r="C286" s="4">
        <v>8.1347071352716377E-2</v>
      </c>
      <c r="D286" s="4">
        <v>8.1347071352716377E-2</v>
      </c>
      <c r="E286" s="4">
        <v>8.1347071352716377E-2</v>
      </c>
      <c r="F286" s="4">
        <v>8.1347071352716377E-2</v>
      </c>
      <c r="G286" s="4">
        <v>8.1347071352716377E-2</v>
      </c>
      <c r="H286" s="4">
        <v>8.1347071352716377E-2</v>
      </c>
      <c r="I286" s="4">
        <v>8.1347071352716377E-2</v>
      </c>
      <c r="J286" s="4">
        <v>8.1347071352716377E-2</v>
      </c>
      <c r="K286" s="4">
        <v>8.1347071352716377E-2</v>
      </c>
      <c r="L286" s="4">
        <v>8.1347071352716377E-2</v>
      </c>
      <c r="M286" s="4">
        <v>8.1347071352716377E-2</v>
      </c>
      <c r="N286" t="s">
        <v>256</v>
      </c>
      <c r="O286" t="s">
        <v>751</v>
      </c>
      <c r="P286" t="s">
        <v>750</v>
      </c>
      <c r="Q286" t="s">
        <v>245</v>
      </c>
    </row>
    <row r="287" spans="1:17" x14ac:dyDescent="0.25">
      <c r="A287" t="s">
        <v>750</v>
      </c>
      <c r="B287" t="s">
        <v>112</v>
      </c>
      <c r="C287" s="4">
        <v>2.9214280876971258E-3</v>
      </c>
      <c r="D287" s="4">
        <v>2.9214280876971258E-3</v>
      </c>
      <c r="E287" s="4">
        <v>2.9214280876971258E-3</v>
      </c>
      <c r="F287" s="4">
        <v>2.9214280876971258E-3</v>
      </c>
      <c r="G287" s="4">
        <v>2.9214280876971258E-3</v>
      </c>
      <c r="H287" s="4">
        <v>2.9214280876971258E-3</v>
      </c>
      <c r="I287" s="4">
        <v>2.9214280876971258E-3</v>
      </c>
      <c r="J287" s="4">
        <v>2.9214280876971258E-3</v>
      </c>
      <c r="K287" s="4">
        <v>2.9214280876971258E-3</v>
      </c>
      <c r="L287" s="4">
        <v>2.9214280876971258E-3</v>
      </c>
      <c r="M287" s="4">
        <v>2.9214280876971258E-3</v>
      </c>
      <c r="N287" t="s">
        <v>256</v>
      </c>
      <c r="O287" t="s">
        <v>751</v>
      </c>
      <c r="P287" t="s">
        <v>750</v>
      </c>
      <c r="Q287" t="s">
        <v>245</v>
      </c>
    </row>
    <row r="288" spans="1:17" x14ac:dyDescent="0.25">
      <c r="A288" t="s">
        <v>750</v>
      </c>
      <c r="B288" t="s">
        <v>113</v>
      </c>
      <c r="C288" s="4">
        <v>0.22378189827008688</v>
      </c>
      <c r="D288" s="4">
        <v>0.22378189827008688</v>
      </c>
      <c r="E288" s="4">
        <v>0.22378189827008688</v>
      </c>
      <c r="F288" s="4">
        <v>0.22378189827008688</v>
      </c>
      <c r="G288" s="4">
        <v>0.22378189827008688</v>
      </c>
      <c r="H288" s="4">
        <v>0.22378189827008688</v>
      </c>
      <c r="I288" s="4">
        <v>0.22378189827008688</v>
      </c>
      <c r="J288" s="4">
        <v>0.22378189827008688</v>
      </c>
      <c r="K288" s="4">
        <v>0.22378189827008688</v>
      </c>
      <c r="L288" s="4">
        <v>0.22378189827008688</v>
      </c>
      <c r="M288" s="4">
        <v>0.22378189827008688</v>
      </c>
      <c r="N288" t="s">
        <v>256</v>
      </c>
      <c r="O288" t="s">
        <v>751</v>
      </c>
      <c r="P288" t="s">
        <v>750</v>
      </c>
      <c r="Q288" t="s">
        <v>245</v>
      </c>
    </row>
    <row r="289" spans="1:18" x14ac:dyDescent="0.25">
      <c r="A289" t="s">
        <v>750</v>
      </c>
      <c r="B289" t="s">
        <v>122</v>
      </c>
      <c r="C289" s="4">
        <v>8.4222263343497368E-3</v>
      </c>
      <c r="D289" s="4">
        <v>8.4222263343497368E-3</v>
      </c>
      <c r="E289" s="4">
        <v>8.4222263343497368E-3</v>
      </c>
      <c r="F289" s="4">
        <v>8.4222263343497368E-3</v>
      </c>
      <c r="G289" s="4">
        <v>8.4222263343497368E-3</v>
      </c>
      <c r="H289" s="4">
        <v>8.4222263343497368E-3</v>
      </c>
      <c r="I289" s="4">
        <v>8.4222263343497368E-3</v>
      </c>
      <c r="J289" s="4">
        <v>8.4222263343497368E-3</v>
      </c>
      <c r="K289" s="4">
        <v>8.4222263343497368E-3</v>
      </c>
      <c r="L289" s="4">
        <v>8.4222263343497368E-3</v>
      </c>
      <c r="M289" s="4">
        <v>8.4222263343497368E-3</v>
      </c>
      <c r="N289" t="s">
        <v>256</v>
      </c>
      <c r="O289" t="s">
        <v>751</v>
      </c>
      <c r="P289" t="s">
        <v>750</v>
      </c>
      <c r="Q289" t="s">
        <v>245</v>
      </c>
    </row>
    <row r="290" spans="1:18" x14ac:dyDescent="0.25">
      <c r="A290" t="s">
        <v>750</v>
      </c>
      <c r="B290" t="s">
        <v>210</v>
      </c>
      <c r="C290" s="4">
        <v>5.8160996440793499E-4</v>
      </c>
      <c r="D290" s="4">
        <v>5.8160996440793499E-4</v>
      </c>
      <c r="E290" s="4">
        <v>5.8160996440793499E-4</v>
      </c>
      <c r="F290" s="4">
        <v>5.8160996440793499E-4</v>
      </c>
      <c r="G290" s="4">
        <v>5.8160996440793499E-4</v>
      </c>
      <c r="H290" s="4">
        <v>5.8160996440793499E-4</v>
      </c>
      <c r="I290" s="4">
        <v>5.8160996440793499E-4</v>
      </c>
      <c r="J290" s="4">
        <v>5.8160996440793499E-4</v>
      </c>
      <c r="K290" s="4">
        <v>5.8160996440793499E-4</v>
      </c>
      <c r="L290" s="4">
        <v>5.8160996440793499E-4</v>
      </c>
      <c r="M290" s="4">
        <v>5.8160996440793499E-4</v>
      </c>
      <c r="N290" t="s">
        <v>256</v>
      </c>
      <c r="O290" t="s">
        <v>751</v>
      </c>
      <c r="P290" t="s">
        <v>750</v>
      </c>
      <c r="Q290" t="s">
        <v>245</v>
      </c>
    </row>
    <row r="291" spans="1:18" x14ac:dyDescent="0.25">
      <c r="A291" t="s">
        <v>750</v>
      </c>
      <c r="B291" t="s">
        <v>180</v>
      </c>
      <c r="C291" s="4">
        <v>1.9554463618809913E-3</v>
      </c>
      <c r="D291" s="4">
        <v>1.9554463618809913E-3</v>
      </c>
      <c r="E291" s="4">
        <v>1.9554463618809913E-3</v>
      </c>
      <c r="F291" s="4">
        <v>1.9554463618809913E-3</v>
      </c>
      <c r="G291" s="4">
        <v>1.9554463618809913E-3</v>
      </c>
      <c r="H291" s="4">
        <v>1.9554463618809913E-3</v>
      </c>
      <c r="I291" s="4">
        <v>1.9554463618809913E-3</v>
      </c>
      <c r="J291" s="4">
        <v>1.9554463618809913E-3</v>
      </c>
      <c r="K291" s="4">
        <v>1.9554463618809913E-3</v>
      </c>
      <c r="L291" s="4">
        <v>1.9554463618809913E-3</v>
      </c>
      <c r="M291" s="4">
        <v>1.9554463618809913E-3</v>
      </c>
      <c r="N291" t="s">
        <v>256</v>
      </c>
      <c r="O291" t="s">
        <v>751</v>
      </c>
      <c r="P291" t="s">
        <v>750</v>
      </c>
      <c r="Q291" t="s">
        <v>245</v>
      </c>
    </row>
    <row r="292" spans="1:18" x14ac:dyDescent="0.25">
      <c r="A292" t="s">
        <v>275</v>
      </c>
      <c r="B292" t="s">
        <v>86</v>
      </c>
      <c r="C292" s="4">
        <v>0.26436197254702593</v>
      </c>
      <c r="D292" s="4">
        <v>0.26436197254702593</v>
      </c>
      <c r="E292" s="4">
        <v>0.26436197254702593</v>
      </c>
      <c r="F292" s="4">
        <v>0.26436197254702593</v>
      </c>
      <c r="G292" s="4">
        <v>0.26436197254702593</v>
      </c>
      <c r="H292" s="4">
        <v>0.26436197254702593</v>
      </c>
      <c r="I292" s="4">
        <v>0.26436197254702593</v>
      </c>
      <c r="J292" s="4">
        <v>0.26436197254702593</v>
      </c>
      <c r="K292" s="4">
        <v>0.26436197254702593</v>
      </c>
      <c r="L292" s="4">
        <v>0.26436197254702593</v>
      </c>
      <c r="M292" s="4">
        <v>0.26436197254702593</v>
      </c>
      <c r="N292" t="s">
        <v>256</v>
      </c>
      <c r="O292" t="s">
        <v>277</v>
      </c>
      <c r="P292" t="s">
        <v>275</v>
      </c>
      <c r="Q292" t="s">
        <v>245</v>
      </c>
      <c r="R292" t="s">
        <v>274</v>
      </c>
    </row>
    <row r="293" spans="1:18" x14ac:dyDescent="0.25">
      <c r="A293" t="s">
        <v>275</v>
      </c>
      <c r="B293" t="s">
        <v>141</v>
      </c>
      <c r="C293" s="4">
        <v>2.7114048466361628E-3</v>
      </c>
      <c r="D293" s="4">
        <v>2.7114048466361628E-3</v>
      </c>
      <c r="E293" s="4">
        <v>2.7114048466361628E-3</v>
      </c>
      <c r="F293" s="4">
        <v>2.7114048466361628E-3</v>
      </c>
      <c r="G293" s="4">
        <v>2.7114048466361628E-3</v>
      </c>
      <c r="H293" s="4">
        <v>2.7114048466361628E-3</v>
      </c>
      <c r="I293" s="4">
        <v>2.7114048466361628E-3</v>
      </c>
      <c r="J293" s="4">
        <v>2.7114048466361628E-3</v>
      </c>
      <c r="K293" s="4">
        <v>2.7114048466361628E-3</v>
      </c>
      <c r="L293" s="4">
        <v>2.7114048466361628E-3</v>
      </c>
      <c r="M293" s="4">
        <v>2.7114048466361628E-3</v>
      </c>
      <c r="N293" t="s">
        <v>256</v>
      </c>
      <c r="O293" t="s">
        <v>277</v>
      </c>
      <c r="P293" t="s">
        <v>275</v>
      </c>
      <c r="Q293" t="s">
        <v>245</v>
      </c>
    </row>
    <row r="294" spans="1:18" x14ac:dyDescent="0.25">
      <c r="A294" t="s">
        <v>275</v>
      </c>
      <c r="B294" t="s">
        <v>105</v>
      </c>
      <c r="C294" s="4">
        <v>3.1316725978647687E-2</v>
      </c>
      <c r="D294" s="4">
        <v>3.1316725978647687E-2</v>
      </c>
      <c r="E294" s="4">
        <v>3.1316725978647687E-2</v>
      </c>
      <c r="F294" s="4">
        <v>3.1316725978647687E-2</v>
      </c>
      <c r="G294" s="4">
        <v>3.1316725978647687E-2</v>
      </c>
      <c r="H294" s="4">
        <v>3.1316725978647687E-2</v>
      </c>
      <c r="I294" s="4">
        <v>3.1316725978647687E-2</v>
      </c>
      <c r="J294" s="4">
        <v>3.1316725978647687E-2</v>
      </c>
      <c r="K294" s="4">
        <v>3.1316725978647687E-2</v>
      </c>
      <c r="L294" s="4">
        <v>3.1316725978647687E-2</v>
      </c>
      <c r="M294" s="4">
        <v>3.1316725978647687E-2</v>
      </c>
      <c r="N294" t="s">
        <v>256</v>
      </c>
      <c r="O294" t="s">
        <v>277</v>
      </c>
      <c r="P294" t="s">
        <v>275</v>
      </c>
      <c r="Q294" t="s">
        <v>245</v>
      </c>
    </row>
    <row r="295" spans="1:18" x14ac:dyDescent="0.25">
      <c r="A295" t="s">
        <v>275</v>
      </c>
      <c r="B295" t="s">
        <v>113</v>
      </c>
      <c r="C295" s="4">
        <v>0.68700220301643788</v>
      </c>
      <c r="D295" s="4">
        <v>0.68700220301643788</v>
      </c>
      <c r="E295" s="4">
        <v>0.68700220301643788</v>
      </c>
      <c r="F295" s="4">
        <v>0.68700220301643788</v>
      </c>
      <c r="G295" s="4">
        <v>0.68700220301643788</v>
      </c>
      <c r="H295" s="4">
        <v>0.68700220301643788</v>
      </c>
      <c r="I295" s="4">
        <v>0.68700220301643788</v>
      </c>
      <c r="J295" s="4">
        <v>0.68700220301643788</v>
      </c>
      <c r="K295" s="4">
        <v>0.68700220301643788</v>
      </c>
      <c r="L295" s="4">
        <v>0.68700220301643788</v>
      </c>
      <c r="M295" s="4">
        <v>0.68700220301643788</v>
      </c>
      <c r="N295" t="s">
        <v>276</v>
      </c>
      <c r="O295" t="s">
        <v>277</v>
      </c>
      <c r="P295" t="s">
        <v>275</v>
      </c>
      <c r="Q295" t="s">
        <v>245</v>
      </c>
    </row>
    <row r="296" spans="1:18" x14ac:dyDescent="0.25">
      <c r="A296" t="s">
        <v>275</v>
      </c>
      <c r="B296" t="s">
        <v>142</v>
      </c>
      <c r="C296" s="4">
        <v>1.372648703609558E-2</v>
      </c>
      <c r="D296" s="4">
        <v>1.372648703609558E-2</v>
      </c>
      <c r="E296" s="4">
        <v>1.372648703609558E-2</v>
      </c>
      <c r="F296" s="4">
        <v>1.372648703609558E-2</v>
      </c>
      <c r="G296" s="4">
        <v>1.372648703609558E-2</v>
      </c>
      <c r="H296" s="4">
        <v>1.372648703609558E-2</v>
      </c>
      <c r="I296" s="4">
        <v>1.372648703609558E-2</v>
      </c>
      <c r="J296" s="4">
        <v>1.372648703609558E-2</v>
      </c>
      <c r="K296" s="4">
        <v>1.372648703609558E-2</v>
      </c>
      <c r="L296" s="4">
        <v>1.372648703609558E-2</v>
      </c>
      <c r="M296" s="4">
        <v>1.372648703609558E-2</v>
      </c>
      <c r="N296" t="s">
        <v>256</v>
      </c>
      <c r="O296" t="s">
        <v>277</v>
      </c>
      <c r="P296" t="s">
        <v>275</v>
      </c>
      <c r="Q296" t="s">
        <v>245</v>
      </c>
    </row>
    <row r="297" spans="1:18" x14ac:dyDescent="0.25">
      <c r="A297" t="s">
        <v>275</v>
      </c>
      <c r="B297" t="s">
        <v>143</v>
      </c>
      <c r="C297" s="4">
        <v>8.8120657515675311E-4</v>
      </c>
      <c r="D297" s="4">
        <v>8.8120657515675311E-4</v>
      </c>
      <c r="E297" s="4">
        <v>8.8120657515675311E-4</v>
      </c>
      <c r="F297" s="4">
        <v>8.8120657515675311E-4</v>
      </c>
      <c r="G297" s="4">
        <v>8.8120657515675311E-4</v>
      </c>
      <c r="H297" s="4">
        <v>8.8120657515675311E-4</v>
      </c>
      <c r="I297" s="4">
        <v>8.8120657515675311E-4</v>
      </c>
      <c r="J297" s="4">
        <v>8.8120657515675311E-4</v>
      </c>
      <c r="K297" s="4">
        <v>8.8120657515675311E-4</v>
      </c>
      <c r="L297" s="4">
        <v>8.8120657515675311E-4</v>
      </c>
      <c r="M297" s="4">
        <v>8.8120657515675311E-4</v>
      </c>
      <c r="N297" t="s">
        <v>256</v>
      </c>
      <c r="O297" t="s">
        <v>277</v>
      </c>
      <c r="P297" t="s">
        <v>275</v>
      </c>
      <c r="Q297" t="s">
        <v>245</v>
      </c>
    </row>
    <row r="298" spans="1:18" x14ac:dyDescent="0.25">
      <c r="A298" t="s">
        <v>273</v>
      </c>
      <c r="B298" t="s">
        <v>113</v>
      </c>
      <c r="C298" s="4">
        <v>0.502</v>
      </c>
      <c r="D298" s="4">
        <v>0.502</v>
      </c>
      <c r="E298" s="4">
        <v>0.502</v>
      </c>
      <c r="F298" s="4">
        <v>0.502</v>
      </c>
      <c r="G298" s="4">
        <v>0.502</v>
      </c>
      <c r="H298" s="4">
        <v>0.502</v>
      </c>
      <c r="I298" s="4">
        <v>0.502</v>
      </c>
      <c r="J298" s="4">
        <v>0.502</v>
      </c>
      <c r="K298" s="4">
        <v>0.502</v>
      </c>
      <c r="L298" s="4">
        <v>0.502</v>
      </c>
      <c r="M298" s="4">
        <v>0.502</v>
      </c>
      <c r="N298" t="s">
        <v>276</v>
      </c>
      <c r="O298" t="s">
        <v>272</v>
      </c>
      <c r="P298" t="s">
        <v>273</v>
      </c>
      <c r="Q298" t="s">
        <v>245</v>
      </c>
    </row>
    <row r="299" spans="1:18" x14ac:dyDescent="0.25">
      <c r="A299" t="s">
        <v>273</v>
      </c>
      <c r="B299" t="s">
        <v>102</v>
      </c>
      <c r="C299" s="4">
        <v>0.25</v>
      </c>
      <c r="D299" s="4">
        <v>0.25</v>
      </c>
      <c r="E299" s="4">
        <v>0.25</v>
      </c>
      <c r="F299" s="4">
        <v>0.25</v>
      </c>
      <c r="G299" s="4">
        <v>0.25</v>
      </c>
      <c r="H299" s="4">
        <v>0.25</v>
      </c>
      <c r="I299" s="4">
        <v>0.25</v>
      </c>
      <c r="J299" s="4">
        <v>0.25</v>
      </c>
      <c r="K299" s="4">
        <v>0.25</v>
      </c>
      <c r="L299" s="4">
        <v>0.25</v>
      </c>
      <c r="M299" s="4">
        <v>0.25</v>
      </c>
      <c r="N299" t="s">
        <v>256</v>
      </c>
      <c r="O299" t="s">
        <v>272</v>
      </c>
      <c r="P299" t="s">
        <v>273</v>
      </c>
      <c r="Q299" t="s">
        <v>245</v>
      </c>
    </row>
    <row r="300" spans="1:18" x14ac:dyDescent="0.25">
      <c r="A300" t="s">
        <v>273</v>
      </c>
      <c r="B300" t="s">
        <v>119</v>
      </c>
      <c r="C300" s="4">
        <v>0.16900000000000001</v>
      </c>
      <c r="D300" s="4">
        <v>0.16900000000000001</v>
      </c>
      <c r="E300" s="4">
        <v>0.16900000000000001</v>
      </c>
      <c r="F300" s="4">
        <v>0.16900000000000001</v>
      </c>
      <c r="G300" s="4">
        <v>0.16900000000000001</v>
      </c>
      <c r="H300" s="4">
        <v>0.16900000000000001</v>
      </c>
      <c r="I300" s="4">
        <v>0.16900000000000001</v>
      </c>
      <c r="J300" s="4">
        <v>0.16900000000000001</v>
      </c>
      <c r="K300" s="4">
        <v>0.16900000000000001</v>
      </c>
      <c r="L300" s="4">
        <v>0.16900000000000001</v>
      </c>
      <c r="M300" s="4">
        <v>0.16900000000000001</v>
      </c>
      <c r="N300" t="s">
        <v>256</v>
      </c>
      <c r="O300" t="s">
        <v>272</v>
      </c>
      <c r="P300" t="s">
        <v>273</v>
      </c>
      <c r="Q300" t="s">
        <v>245</v>
      </c>
    </row>
    <row r="301" spans="1:18" x14ac:dyDescent="0.25">
      <c r="A301" t="s">
        <v>273</v>
      </c>
      <c r="B301" t="s">
        <v>86</v>
      </c>
      <c r="C301" s="4">
        <v>7.9000000000000001E-2</v>
      </c>
      <c r="D301" s="4">
        <v>7.9000000000000001E-2</v>
      </c>
      <c r="E301" s="4">
        <v>7.9000000000000001E-2</v>
      </c>
      <c r="F301" s="4">
        <v>7.9000000000000001E-2</v>
      </c>
      <c r="G301" s="4">
        <v>7.9000000000000001E-2</v>
      </c>
      <c r="H301" s="4">
        <v>7.9000000000000001E-2</v>
      </c>
      <c r="I301" s="4">
        <v>7.9000000000000001E-2</v>
      </c>
      <c r="J301" s="4">
        <v>7.9000000000000001E-2</v>
      </c>
      <c r="K301" s="4">
        <v>7.9000000000000001E-2</v>
      </c>
      <c r="L301" s="4">
        <v>7.9000000000000001E-2</v>
      </c>
      <c r="M301" s="4">
        <v>7.9000000000000001E-2</v>
      </c>
      <c r="N301" t="s">
        <v>256</v>
      </c>
      <c r="O301" t="s">
        <v>272</v>
      </c>
      <c r="P301" t="s">
        <v>273</v>
      </c>
      <c r="Q301" t="s">
        <v>245</v>
      </c>
    </row>
    <row r="302" spans="1:18" x14ac:dyDescent="0.25">
      <c r="A302" t="s">
        <v>552</v>
      </c>
      <c r="B302" t="s">
        <v>124</v>
      </c>
      <c r="C302" s="4">
        <v>1.7570686145995659E-2</v>
      </c>
      <c r="D302" s="4">
        <v>1.7570686145995659E-2</v>
      </c>
      <c r="E302" s="4">
        <v>1.7570686145995659E-2</v>
      </c>
      <c r="F302" s="4">
        <v>1.7570686145995659E-2</v>
      </c>
      <c r="G302" s="4">
        <v>1.7570686145995659E-2</v>
      </c>
      <c r="H302" s="4">
        <v>1.7570686145995659E-2</v>
      </c>
      <c r="I302" s="4">
        <v>1.7570686145995659E-2</v>
      </c>
      <c r="J302" s="4">
        <v>1.7570686145995659E-2</v>
      </c>
      <c r="K302" s="4">
        <v>1.7570686145995659E-2</v>
      </c>
      <c r="L302" s="4">
        <v>1.7570686145995659E-2</v>
      </c>
      <c r="M302" s="4">
        <v>1.7570686145995659E-2</v>
      </c>
      <c r="N302" t="s">
        <v>256</v>
      </c>
      <c r="O302" t="s">
        <v>551</v>
      </c>
      <c r="P302" t="s">
        <v>552</v>
      </c>
      <c r="Q302" t="s">
        <v>245</v>
      </c>
      <c r="R302" t="s">
        <v>553</v>
      </c>
    </row>
    <row r="303" spans="1:18" x14ac:dyDescent="0.25">
      <c r="A303" t="s">
        <v>552</v>
      </c>
      <c r="B303" t="s">
        <v>144</v>
      </c>
      <c r="C303" s="4">
        <v>3.3682321998821839E-2</v>
      </c>
      <c r="D303" s="4">
        <v>3.3682321998821839E-2</v>
      </c>
      <c r="E303" s="4">
        <v>3.3682321998821839E-2</v>
      </c>
      <c r="F303" s="4">
        <v>3.3682321998821839E-2</v>
      </c>
      <c r="G303" s="4">
        <v>3.3682321998821839E-2</v>
      </c>
      <c r="H303" s="4">
        <v>3.3682321998821839E-2</v>
      </c>
      <c r="I303" s="4">
        <v>3.3682321998821839E-2</v>
      </c>
      <c r="J303" s="4">
        <v>3.3682321998821839E-2</v>
      </c>
      <c r="K303" s="4">
        <v>3.3682321998821839E-2</v>
      </c>
      <c r="L303" s="4">
        <v>3.3682321998821839E-2</v>
      </c>
      <c r="M303" s="4">
        <v>3.3682321998821839E-2</v>
      </c>
      <c r="N303" t="s">
        <v>256</v>
      </c>
      <c r="O303" t="s">
        <v>551</v>
      </c>
      <c r="P303" t="s">
        <v>552</v>
      </c>
      <c r="Q303" t="s">
        <v>245</v>
      </c>
    </row>
    <row r="304" spans="1:18" x14ac:dyDescent="0.25">
      <c r="A304" t="s">
        <v>552</v>
      </c>
      <c r="B304" t="s">
        <v>145</v>
      </c>
      <c r="C304" s="4">
        <v>5.4508900092825469E-2</v>
      </c>
      <c r="D304" s="4">
        <v>5.4508900092825469E-2</v>
      </c>
      <c r="E304" s="4">
        <v>5.4508900092825469E-2</v>
      </c>
      <c r="F304" s="4">
        <v>5.4508900092825469E-2</v>
      </c>
      <c r="G304" s="4">
        <v>5.4508900092825469E-2</v>
      </c>
      <c r="H304" s="4">
        <v>5.4508900092825469E-2</v>
      </c>
      <c r="I304" s="4">
        <v>5.4508900092825469E-2</v>
      </c>
      <c r="J304" s="4">
        <v>5.4508900092825469E-2</v>
      </c>
      <c r="K304" s="4">
        <v>5.4508900092825469E-2</v>
      </c>
      <c r="L304" s="4">
        <v>5.4508900092825469E-2</v>
      </c>
      <c r="M304" s="4">
        <v>5.4508900092825469E-2</v>
      </c>
      <c r="N304" t="s">
        <v>256</v>
      </c>
      <c r="O304" t="s">
        <v>551</v>
      </c>
      <c r="P304" t="s">
        <v>552</v>
      </c>
      <c r="Q304" t="s">
        <v>245</v>
      </c>
    </row>
    <row r="305" spans="1:17" x14ac:dyDescent="0.25">
      <c r="A305" t="s">
        <v>552</v>
      </c>
      <c r="B305" t="s">
        <v>86</v>
      </c>
      <c r="C305" s="4">
        <v>3.1339788153885689E-2</v>
      </c>
      <c r="D305" s="4">
        <v>3.1339788153885689E-2</v>
      </c>
      <c r="E305" s="4">
        <v>3.1339788153885689E-2</v>
      </c>
      <c r="F305" s="4">
        <v>3.1339788153885689E-2</v>
      </c>
      <c r="G305" s="4">
        <v>3.1339788153885689E-2</v>
      </c>
      <c r="H305" s="4">
        <v>3.1339788153885689E-2</v>
      </c>
      <c r="I305" s="4">
        <v>3.1339788153885689E-2</v>
      </c>
      <c r="J305" s="4">
        <v>3.1339788153885689E-2</v>
      </c>
      <c r="K305" s="4">
        <v>3.1339788153885689E-2</v>
      </c>
      <c r="L305" s="4">
        <v>3.1339788153885689E-2</v>
      </c>
      <c r="M305" s="4">
        <v>3.1339788153885689E-2</v>
      </c>
      <c r="N305" t="s">
        <v>256</v>
      </c>
      <c r="O305" t="s">
        <v>551</v>
      </c>
      <c r="P305" t="s">
        <v>552</v>
      </c>
      <c r="Q305" t="s">
        <v>245</v>
      </c>
    </row>
    <row r="306" spans="1:17" x14ac:dyDescent="0.25">
      <c r="A306" t="s">
        <v>552</v>
      </c>
      <c r="B306" t="s">
        <v>99</v>
      </c>
      <c r="C306" s="4">
        <v>2.0266396339512741E-4</v>
      </c>
      <c r="D306" s="4">
        <v>2.0266396339512741E-4</v>
      </c>
      <c r="E306" s="4">
        <v>2.0266396339512741E-4</v>
      </c>
      <c r="F306" s="4">
        <v>2.0266396339512741E-4</v>
      </c>
      <c r="G306" s="4">
        <v>2.0266396339512741E-4</v>
      </c>
      <c r="H306" s="4">
        <v>2.0266396339512741E-4</v>
      </c>
      <c r="I306" s="4">
        <v>2.0266396339512741E-4</v>
      </c>
      <c r="J306" s="4">
        <v>2.0266396339512741E-4</v>
      </c>
      <c r="K306" s="4">
        <v>2.0266396339512741E-4</v>
      </c>
      <c r="L306" s="4">
        <v>2.0266396339512741E-4</v>
      </c>
      <c r="M306" s="4">
        <v>2.0266396339512741E-4</v>
      </c>
      <c r="N306" t="s">
        <v>256</v>
      </c>
      <c r="O306" t="s">
        <v>551</v>
      </c>
      <c r="P306" t="s">
        <v>552</v>
      </c>
      <c r="Q306" t="s">
        <v>245</v>
      </c>
    </row>
    <row r="307" spans="1:17" x14ac:dyDescent="0.25">
      <c r="A307" t="s">
        <v>552</v>
      </c>
      <c r="B307" t="s">
        <v>102</v>
      </c>
      <c r="C307" s="4">
        <v>6.7835039294124863E-2</v>
      </c>
      <c r="D307" s="4">
        <v>6.7835039294124863E-2</v>
      </c>
      <c r="E307" s="4">
        <v>6.7835039294124863E-2</v>
      </c>
      <c r="F307" s="4">
        <v>6.7835039294124863E-2</v>
      </c>
      <c r="G307" s="4">
        <v>6.7835039294124863E-2</v>
      </c>
      <c r="H307" s="4">
        <v>6.7835039294124863E-2</v>
      </c>
      <c r="I307" s="4">
        <v>6.7835039294124863E-2</v>
      </c>
      <c r="J307" s="4">
        <v>6.7835039294124863E-2</v>
      </c>
      <c r="K307" s="4">
        <v>6.7835039294124863E-2</v>
      </c>
      <c r="L307" s="4">
        <v>6.7835039294124863E-2</v>
      </c>
      <c r="M307" s="4">
        <v>6.7835039294124863E-2</v>
      </c>
      <c r="N307" t="s">
        <v>256</v>
      </c>
      <c r="O307" t="s">
        <v>551</v>
      </c>
      <c r="P307" t="s">
        <v>552</v>
      </c>
      <c r="Q307" t="s">
        <v>245</v>
      </c>
    </row>
    <row r="308" spans="1:17" x14ac:dyDescent="0.25">
      <c r="A308" t="s">
        <v>552</v>
      </c>
      <c r="B308" t="s">
        <v>146</v>
      </c>
      <c r="C308" s="4">
        <v>1.3612240263026289E-2</v>
      </c>
      <c r="D308" s="4">
        <v>1.3612240263026289E-2</v>
      </c>
      <c r="E308" s="4">
        <v>1.3612240263026289E-2</v>
      </c>
      <c r="F308" s="4">
        <v>1.3612240263026289E-2</v>
      </c>
      <c r="G308" s="4">
        <v>1.3612240263026289E-2</v>
      </c>
      <c r="H308" s="4">
        <v>1.3612240263026289E-2</v>
      </c>
      <c r="I308" s="4">
        <v>1.3612240263026289E-2</v>
      </c>
      <c r="J308" s="4">
        <v>1.3612240263026289E-2</v>
      </c>
      <c r="K308" s="4">
        <v>1.3612240263026289E-2</v>
      </c>
      <c r="L308" s="4">
        <v>1.3612240263026289E-2</v>
      </c>
      <c r="M308" s="4">
        <v>1.3612240263026289E-2</v>
      </c>
      <c r="N308" t="s">
        <v>256</v>
      </c>
      <c r="O308" t="s">
        <v>551</v>
      </c>
      <c r="P308" t="s">
        <v>552</v>
      </c>
      <c r="Q308" t="s">
        <v>245</v>
      </c>
    </row>
    <row r="309" spans="1:17" x14ac:dyDescent="0.25">
      <c r="A309" t="s">
        <v>552</v>
      </c>
      <c r="B309" t="s">
        <v>107</v>
      </c>
      <c r="C309" s="4">
        <v>1.071793620847173E-2</v>
      </c>
      <c r="D309" s="4">
        <v>1.071793620847173E-2</v>
      </c>
      <c r="E309" s="4">
        <v>1.071793620847173E-2</v>
      </c>
      <c r="F309" s="4">
        <v>1.071793620847173E-2</v>
      </c>
      <c r="G309" s="4">
        <v>1.071793620847173E-2</v>
      </c>
      <c r="H309" s="4">
        <v>1.071793620847173E-2</v>
      </c>
      <c r="I309" s="4">
        <v>1.071793620847173E-2</v>
      </c>
      <c r="J309" s="4">
        <v>1.071793620847173E-2</v>
      </c>
      <c r="K309" s="4">
        <v>1.071793620847173E-2</v>
      </c>
      <c r="L309" s="4">
        <v>1.071793620847173E-2</v>
      </c>
      <c r="M309" s="4">
        <v>1.071793620847173E-2</v>
      </c>
      <c r="N309" t="s">
        <v>256</v>
      </c>
      <c r="O309" t="s">
        <v>551</v>
      </c>
      <c r="P309" t="s">
        <v>552</v>
      </c>
      <c r="Q309" t="s">
        <v>245</v>
      </c>
    </row>
    <row r="310" spans="1:17" x14ac:dyDescent="0.25">
      <c r="A310" t="s">
        <v>552</v>
      </c>
      <c r="B310" t="s">
        <v>112</v>
      </c>
      <c r="C310" s="4">
        <v>0.59415932171472874</v>
      </c>
      <c r="D310" s="4">
        <v>0.59415932171472874</v>
      </c>
      <c r="E310" s="4">
        <v>0.59415932171472874</v>
      </c>
      <c r="F310" s="4">
        <v>0.59415932171472874</v>
      </c>
      <c r="G310" s="4">
        <v>0.59415932171472874</v>
      </c>
      <c r="H310" s="4">
        <v>0.59415932171472874</v>
      </c>
      <c r="I310" s="4">
        <v>0.59415932171472874</v>
      </c>
      <c r="J310" s="4">
        <v>0.59415932171472874</v>
      </c>
      <c r="K310" s="4">
        <v>0.59415932171472874</v>
      </c>
      <c r="L310" s="4">
        <v>0.59415932171472874</v>
      </c>
      <c r="M310" s="4">
        <v>0.59415932171472874</v>
      </c>
      <c r="N310" t="s">
        <v>500</v>
      </c>
      <c r="O310" t="s">
        <v>551</v>
      </c>
      <c r="P310" t="s">
        <v>552</v>
      </c>
      <c r="Q310" t="s">
        <v>245</v>
      </c>
    </row>
    <row r="311" spans="1:17" x14ac:dyDescent="0.25">
      <c r="A311" t="s">
        <v>552</v>
      </c>
      <c r="B311" t="s">
        <v>113</v>
      </c>
      <c r="C311" s="4">
        <v>0.17637110216472471</v>
      </c>
      <c r="D311" s="4">
        <v>0.17637110216472471</v>
      </c>
      <c r="E311" s="4">
        <v>0.17637110216472471</v>
      </c>
      <c r="F311" s="4">
        <v>0.17637110216472471</v>
      </c>
      <c r="G311" s="4">
        <v>0.17637110216472471</v>
      </c>
      <c r="H311" s="4">
        <v>0.17637110216472471</v>
      </c>
      <c r="I311" s="4">
        <v>0.17637110216472471</v>
      </c>
      <c r="J311" s="4">
        <v>0.17637110216472471</v>
      </c>
      <c r="K311" s="4">
        <v>0.17637110216472471</v>
      </c>
      <c r="L311" s="4">
        <v>0.17637110216472471</v>
      </c>
      <c r="M311" s="4">
        <v>0.17637110216472471</v>
      </c>
      <c r="N311" t="s">
        <v>256</v>
      </c>
      <c r="O311" t="s">
        <v>551</v>
      </c>
      <c r="P311" t="s">
        <v>552</v>
      </c>
      <c r="Q311" t="s">
        <v>245</v>
      </c>
    </row>
    <row r="312" spans="1:17" x14ac:dyDescent="0.25">
      <c r="A312" t="s">
        <v>554</v>
      </c>
      <c r="B312" t="s">
        <v>124</v>
      </c>
      <c r="C312" s="4">
        <v>1.7570686145995659E-2</v>
      </c>
      <c r="D312" s="4">
        <v>1.7570686145995659E-2</v>
      </c>
      <c r="E312" s="4">
        <v>1.7570686145995659E-2</v>
      </c>
      <c r="F312" s="4">
        <v>1.7570686145995659E-2</v>
      </c>
      <c r="G312" s="4">
        <v>1.7570686145995659E-2</v>
      </c>
      <c r="H312" s="4">
        <v>1.7570686145995659E-2</v>
      </c>
      <c r="I312" s="4">
        <v>1.7570686145995659E-2</v>
      </c>
      <c r="J312" s="4">
        <v>1.7570686145995659E-2</v>
      </c>
      <c r="K312" s="4">
        <v>1.7570686145995659E-2</v>
      </c>
      <c r="L312" s="4">
        <v>1.7570686145995659E-2</v>
      </c>
      <c r="M312" s="4">
        <v>1.7570686145995659E-2</v>
      </c>
      <c r="N312" t="s">
        <v>256</v>
      </c>
      <c r="O312" t="s">
        <v>555</v>
      </c>
      <c r="P312" t="s">
        <v>554</v>
      </c>
      <c r="Q312" t="s">
        <v>245</v>
      </c>
    </row>
    <row r="313" spans="1:17" x14ac:dyDescent="0.25">
      <c r="A313" t="s">
        <v>554</v>
      </c>
      <c r="B313" t="s">
        <v>144</v>
      </c>
      <c r="C313" s="4">
        <v>3.3682321998821839E-2</v>
      </c>
      <c r="D313" s="4">
        <v>3.3682321998821839E-2</v>
      </c>
      <c r="E313" s="4">
        <v>3.3682321998821839E-2</v>
      </c>
      <c r="F313" s="4">
        <v>3.3682321998821839E-2</v>
      </c>
      <c r="G313" s="4">
        <v>3.3682321998821839E-2</v>
      </c>
      <c r="H313" s="4">
        <v>3.3682321998821839E-2</v>
      </c>
      <c r="I313" s="4">
        <v>3.3682321998821839E-2</v>
      </c>
      <c r="J313" s="4">
        <v>3.3682321998821839E-2</v>
      </c>
      <c r="K313" s="4">
        <v>3.3682321998821839E-2</v>
      </c>
      <c r="L313" s="4">
        <v>3.3682321998821839E-2</v>
      </c>
      <c r="M313" s="4">
        <v>3.3682321998821839E-2</v>
      </c>
      <c r="N313" t="s">
        <v>256</v>
      </c>
      <c r="O313" t="s">
        <v>555</v>
      </c>
      <c r="P313" t="s">
        <v>554</v>
      </c>
      <c r="Q313" t="s">
        <v>245</v>
      </c>
    </row>
    <row r="314" spans="1:17" x14ac:dyDescent="0.25">
      <c r="A314" t="s">
        <v>554</v>
      </c>
      <c r="B314" t="s">
        <v>145</v>
      </c>
      <c r="C314" s="4">
        <v>5.4508900092825469E-2</v>
      </c>
      <c r="D314" s="4">
        <v>5.4508900092825469E-2</v>
      </c>
      <c r="E314" s="4">
        <v>5.4508900092825469E-2</v>
      </c>
      <c r="F314" s="4">
        <v>5.4508900092825469E-2</v>
      </c>
      <c r="G314" s="4">
        <v>5.4508900092825469E-2</v>
      </c>
      <c r="H314" s="4">
        <v>5.4508900092825469E-2</v>
      </c>
      <c r="I314" s="4">
        <v>5.4508900092825469E-2</v>
      </c>
      <c r="J314" s="4">
        <v>5.4508900092825469E-2</v>
      </c>
      <c r="K314" s="4">
        <v>5.4508900092825469E-2</v>
      </c>
      <c r="L314" s="4">
        <v>5.4508900092825469E-2</v>
      </c>
      <c r="M314" s="4">
        <v>5.4508900092825469E-2</v>
      </c>
      <c r="N314" t="s">
        <v>256</v>
      </c>
      <c r="O314" t="s">
        <v>555</v>
      </c>
      <c r="P314" t="s">
        <v>554</v>
      </c>
      <c r="Q314" t="s">
        <v>245</v>
      </c>
    </row>
    <row r="315" spans="1:17" x14ac:dyDescent="0.25">
      <c r="A315" t="s">
        <v>554</v>
      </c>
      <c r="B315" t="s">
        <v>86</v>
      </c>
      <c r="C315" s="4">
        <v>3.1339788153885689E-2</v>
      </c>
      <c r="D315" s="4">
        <v>3.1339788153885689E-2</v>
      </c>
      <c r="E315" s="4">
        <v>3.1339788153885689E-2</v>
      </c>
      <c r="F315" s="4">
        <v>3.1339788153885689E-2</v>
      </c>
      <c r="G315" s="4">
        <v>3.1339788153885689E-2</v>
      </c>
      <c r="H315" s="4">
        <v>3.1339788153885689E-2</v>
      </c>
      <c r="I315" s="4">
        <v>3.1339788153885689E-2</v>
      </c>
      <c r="J315" s="4">
        <v>3.1339788153885689E-2</v>
      </c>
      <c r="K315" s="4">
        <v>3.1339788153885689E-2</v>
      </c>
      <c r="L315" s="4">
        <v>3.1339788153885689E-2</v>
      </c>
      <c r="M315" s="4">
        <v>3.1339788153885689E-2</v>
      </c>
      <c r="N315" t="s">
        <v>256</v>
      </c>
      <c r="O315" t="s">
        <v>555</v>
      </c>
      <c r="P315" t="s">
        <v>554</v>
      </c>
      <c r="Q315" t="s">
        <v>245</v>
      </c>
    </row>
    <row r="316" spans="1:17" x14ac:dyDescent="0.25">
      <c r="A316" t="s">
        <v>554</v>
      </c>
      <c r="B316" t="s">
        <v>99</v>
      </c>
      <c r="C316" s="4">
        <v>2.0266396339512741E-4</v>
      </c>
      <c r="D316" s="4">
        <v>2.0266396339512741E-4</v>
      </c>
      <c r="E316" s="4">
        <v>2.0266396339512741E-4</v>
      </c>
      <c r="F316" s="4">
        <v>2.0266396339512741E-4</v>
      </c>
      <c r="G316" s="4">
        <v>2.0266396339512741E-4</v>
      </c>
      <c r="H316" s="4">
        <v>2.0266396339512741E-4</v>
      </c>
      <c r="I316" s="4">
        <v>2.0266396339512741E-4</v>
      </c>
      <c r="J316" s="4">
        <v>2.0266396339512741E-4</v>
      </c>
      <c r="K316" s="4">
        <v>2.0266396339512741E-4</v>
      </c>
      <c r="L316" s="4">
        <v>2.0266396339512741E-4</v>
      </c>
      <c r="M316" s="4">
        <v>2.0266396339512741E-4</v>
      </c>
      <c r="N316" t="s">
        <v>256</v>
      </c>
      <c r="O316" t="s">
        <v>555</v>
      </c>
      <c r="P316" t="s">
        <v>554</v>
      </c>
      <c r="Q316" t="s">
        <v>245</v>
      </c>
    </row>
    <row r="317" spans="1:17" x14ac:dyDescent="0.25">
      <c r="A317" t="s">
        <v>554</v>
      </c>
      <c r="B317" t="s">
        <v>102</v>
      </c>
      <c r="C317" s="4">
        <v>6.7835039294124863E-2</v>
      </c>
      <c r="D317" s="4">
        <v>6.7835039294124863E-2</v>
      </c>
      <c r="E317" s="4">
        <v>6.7835039294124863E-2</v>
      </c>
      <c r="F317" s="4">
        <v>6.7835039294124863E-2</v>
      </c>
      <c r="G317" s="4">
        <v>6.7835039294124863E-2</v>
      </c>
      <c r="H317" s="4">
        <v>6.7835039294124863E-2</v>
      </c>
      <c r="I317" s="4">
        <v>6.7835039294124863E-2</v>
      </c>
      <c r="J317" s="4">
        <v>6.7835039294124863E-2</v>
      </c>
      <c r="K317" s="4">
        <v>6.7835039294124863E-2</v>
      </c>
      <c r="L317" s="4">
        <v>6.7835039294124863E-2</v>
      </c>
      <c r="M317" s="4">
        <v>6.7835039294124863E-2</v>
      </c>
      <c r="N317" t="s">
        <v>256</v>
      </c>
      <c r="O317" t="s">
        <v>555</v>
      </c>
      <c r="P317" t="s">
        <v>554</v>
      </c>
      <c r="Q317" t="s">
        <v>245</v>
      </c>
    </row>
    <row r="318" spans="1:17" x14ac:dyDescent="0.25">
      <c r="A318" t="s">
        <v>554</v>
      </c>
      <c r="B318" t="s">
        <v>146</v>
      </c>
      <c r="C318" s="4">
        <v>1.3612240263026289E-2</v>
      </c>
      <c r="D318" s="4">
        <v>1.3612240263026289E-2</v>
      </c>
      <c r="E318" s="4">
        <v>1.3612240263026289E-2</v>
      </c>
      <c r="F318" s="4">
        <v>1.3612240263026289E-2</v>
      </c>
      <c r="G318" s="4">
        <v>1.3612240263026289E-2</v>
      </c>
      <c r="H318" s="4">
        <v>1.3612240263026289E-2</v>
      </c>
      <c r="I318" s="4">
        <v>1.3612240263026289E-2</v>
      </c>
      <c r="J318" s="4">
        <v>1.3612240263026289E-2</v>
      </c>
      <c r="K318" s="4">
        <v>1.3612240263026289E-2</v>
      </c>
      <c r="L318" s="4">
        <v>1.3612240263026289E-2</v>
      </c>
      <c r="M318" s="4">
        <v>1.3612240263026289E-2</v>
      </c>
      <c r="N318" t="s">
        <v>256</v>
      </c>
      <c r="O318" t="s">
        <v>555</v>
      </c>
      <c r="P318" t="s">
        <v>554</v>
      </c>
      <c r="Q318" t="s">
        <v>245</v>
      </c>
    </row>
    <row r="319" spans="1:17" x14ac:dyDescent="0.25">
      <c r="A319" t="s">
        <v>554</v>
      </c>
      <c r="B319" t="s">
        <v>107</v>
      </c>
      <c r="C319" s="4">
        <v>1.071793620847173E-2</v>
      </c>
      <c r="D319" s="4">
        <v>1.071793620847173E-2</v>
      </c>
      <c r="E319" s="4">
        <v>1.071793620847173E-2</v>
      </c>
      <c r="F319" s="4">
        <v>1.071793620847173E-2</v>
      </c>
      <c r="G319" s="4">
        <v>1.071793620847173E-2</v>
      </c>
      <c r="H319" s="4">
        <v>1.071793620847173E-2</v>
      </c>
      <c r="I319" s="4">
        <v>1.071793620847173E-2</v>
      </c>
      <c r="J319" s="4">
        <v>1.071793620847173E-2</v>
      </c>
      <c r="K319" s="4">
        <v>1.071793620847173E-2</v>
      </c>
      <c r="L319" s="4">
        <v>1.071793620847173E-2</v>
      </c>
      <c r="M319" s="4">
        <v>1.071793620847173E-2</v>
      </c>
      <c r="N319" t="s">
        <v>256</v>
      </c>
      <c r="O319" t="s">
        <v>555</v>
      </c>
      <c r="P319" t="s">
        <v>554</v>
      </c>
      <c r="Q319" t="s">
        <v>245</v>
      </c>
    </row>
    <row r="320" spans="1:17" x14ac:dyDescent="0.25">
      <c r="A320" t="s">
        <v>554</v>
      </c>
      <c r="B320" t="s">
        <v>112</v>
      </c>
      <c r="C320" s="4">
        <v>0.59415932171472874</v>
      </c>
      <c r="D320" s="4">
        <v>0.59415932171472874</v>
      </c>
      <c r="E320" s="4">
        <v>0.59415932171472874</v>
      </c>
      <c r="F320" s="4">
        <v>0.59415932171472874</v>
      </c>
      <c r="G320" s="4">
        <v>0.59415932171472874</v>
      </c>
      <c r="H320" s="4">
        <v>0.59415932171472874</v>
      </c>
      <c r="I320" s="4">
        <v>0.59415932171472874</v>
      </c>
      <c r="J320" s="4">
        <v>0.59415932171472874</v>
      </c>
      <c r="K320" s="4">
        <v>0.59415932171472874</v>
      </c>
      <c r="L320" s="4">
        <v>0.59415932171472874</v>
      </c>
      <c r="M320" s="4">
        <v>0.59415932171472874</v>
      </c>
      <c r="N320" t="s">
        <v>256</v>
      </c>
      <c r="O320" t="s">
        <v>555</v>
      </c>
      <c r="P320" t="s">
        <v>554</v>
      </c>
      <c r="Q320" t="s">
        <v>245</v>
      </c>
    </row>
    <row r="321" spans="1:17" x14ac:dyDescent="0.25">
      <c r="A321" t="s">
        <v>554</v>
      </c>
      <c r="B321" t="s">
        <v>113</v>
      </c>
      <c r="C321" s="4">
        <v>0.17637110216472471</v>
      </c>
      <c r="D321" s="4">
        <v>0.17637110216472471</v>
      </c>
      <c r="E321" s="4">
        <v>0.17637110216472471</v>
      </c>
      <c r="F321" s="4">
        <v>0.17637110216472471</v>
      </c>
      <c r="G321" s="4">
        <v>0.17637110216472471</v>
      </c>
      <c r="H321" s="4">
        <v>0.17637110216472471</v>
      </c>
      <c r="I321" s="4">
        <v>0.17637110216472471</v>
      </c>
      <c r="J321" s="4">
        <v>0.17637110216472471</v>
      </c>
      <c r="K321" s="4">
        <v>0.17637110216472471</v>
      </c>
      <c r="L321" s="4">
        <v>0.17637110216472471</v>
      </c>
      <c r="M321" s="4">
        <v>0.17637110216472471</v>
      </c>
      <c r="N321" t="s">
        <v>276</v>
      </c>
      <c r="O321" t="s">
        <v>555</v>
      </c>
      <c r="P321" t="s">
        <v>554</v>
      </c>
      <c r="Q321" t="s">
        <v>245</v>
      </c>
    </row>
    <row r="322" spans="1:17" x14ac:dyDescent="0.25">
      <c r="A322" t="s">
        <v>713</v>
      </c>
      <c r="B322" t="s">
        <v>112</v>
      </c>
      <c r="C322" s="4">
        <f t="shared" ref="C322:M323" si="0">44.8%/0.956</f>
        <v>0.46861924686192463</v>
      </c>
      <c r="D322" s="4">
        <f t="shared" si="0"/>
        <v>0.46861924686192463</v>
      </c>
      <c r="E322" s="4">
        <f t="shared" si="0"/>
        <v>0.46861924686192463</v>
      </c>
      <c r="F322" s="4">
        <f t="shared" si="0"/>
        <v>0.46861924686192463</v>
      </c>
      <c r="G322" s="4">
        <f t="shared" si="0"/>
        <v>0.46861924686192463</v>
      </c>
      <c r="H322" s="4">
        <f t="shared" si="0"/>
        <v>0.46861924686192463</v>
      </c>
      <c r="I322" s="4">
        <f t="shared" si="0"/>
        <v>0.46861924686192463</v>
      </c>
      <c r="J322" s="4">
        <f t="shared" si="0"/>
        <v>0.46861924686192463</v>
      </c>
      <c r="K322" s="4">
        <f t="shared" si="0"/>
        <v>0.46861924686192463</v>
      </c>
      <c r="L322" s="4">
        <f t="shared" si="0"/>
        <v>0.46861924686192463</v>
      </c>
      <c r="M322" s="4">
        <f t="shared" si="0"/>
        <v>0.46861924686192463</v>
      </c>
      <c r="N322" t="s">
        <v>256</v>
      </c>
      <c r="O322" t="s">
        <v>712</v>
      </c>
      <c r="P322" t="s">
        <v>713</v>
      </c>
      <c r="Q322" t="s">
        <v>245</v>
      </c>
    </row>
    <row r="323" spans="1:17" x14ac:dyDescent="0.25">
      <c r="A323" t="s">
        <v>707</v>
      </c>
      <c r="B323" t="s">
        <v>112</v>
      </c>
      <c r="C323" s="4">
        <f t="shared" si="0"/>
        <v>0.46861924686192463</v>
      </c>
      <c r="D323" s="4">
        <f t="shared" si="0"/>
        <v>0.46861924686192463</v>
      </c>
      <c r="E323" s="4">
        <f t="shared" si="0"/>
        <v>0.46861924686192463</v>
      </c>
      <c r="F323" s="4">
        <f t="shared" si="0"/>
        <v>0.46861924686192463</v>
      </c>
      <c r="G323" s="4">
        <f t="shared" si="0"/>
        <v>0.46861924686192463</v>
      </c>
      <c r="H323" s="4">
        <f t="shared" si="0"/>
        <v>0.46861924686192463</v>
      </c>
      <c r="I323" s="4">
        <f t="shared" si="0"/>
        <v>0.46861924686192463</v>
      </c>
      <c r="J323" s="4">
        <f t="shared" si="0"/>
        <v>0.46861924686192463</v>
      </c>
      <c r="K323" s="4">
        <f t="shared" si="0"/>
        <v>0.46861924686192463</v>
      </c>
      <c r="L323" s="4">
        <f t="shared" si="0"/>
        <v>0.46861924686192463</v>
      </c>
      <c r="M323" s="4">
        <f t="shared" si="0"/>
        <v>0.46861924686192463</v>
      </c>
      <c r="N323" t="s">
        <v>242</v>
      </c>
      <c r="O323" t="s">
        <v>706</v>
      </c>
      <c r="P323" t="s">
        <v>707</v>
      </c>
      <c r="Q323" t="s">
        <v>245</v>
      </c>
    </row>
    <row r="324" spans="1:17" x14ac:dyDescent="0.25">
      <c r="A324" t="s">
        <v>713</v>
      </c>
      <c r="B324" t="s">
        <v>113</v>
      </c>
      <c r="C324" s="4">
        <f t="shared" ref="C324:M325" si="1">23.4%/0.956</f>
        <v>0.24476987447698745</v>
      </c>
      <c r="D324" s="4">
        <f t="shared" si="1"/>
        <v>0.24476987447698745</v>
      </c>
      <c r="E324" s="4">
        <f t="shared" si="1"/>
        <v>0.24476987447698745</v>
      </c>
      <c r="F324" s="4">
        <f t="shared" si="1"/>
        <v>0.24476987447698745</v>
      </c>
      <c r="G324" s="4">
        <f t="shared" si="1"/>
        <v>0.24476987447698745</v>
      </c>
      <c r="H324" s="4">
        <f t="shared" si="1"/>
        <v>0.24476987447698745</v>
      </c>
      <c r="I324" s="4">
        <f t="shared" si="1"/>
        <v>0.24476987447698745</v>
      </c>
      <c r="J324" s="4">
        <f t="shared" si="1"/>
        <v>0.24476987447698745</v>
      </c>
      <c r="K324" s="4">
        <f t="shared" si="1"/>
        <v>0.24476987447698745</v>
      </c>
      <c r="L324" s="4">
        <f t="shared" si="1"/>
        <v>0.24476987447698745</v>
      </c>
      <c r="M324" s="4">
        <f t="shared" si="1"/>
        <v>0.24476987447698745</v>
      </c>
      <c r="N324" t="s">
        <v>256</v>
      </c>
      <c r="O324" t="s">
        <v>712</v>
      </c>
      <c r="P324" t="s">
        <v>713</v>
      </c>
      <c r="Q324" t="s">
        <v>245</v>
      </c>
    </row>
    <row r="325" spans="1:17" x14ac:dyDescent="0.25">
      <c r="A325" t="s">
        <v>707</v>
      </c>
      <c r="B325" t="s">
        <v>113</v>
      </c>
      <c r="C325" s="4">
        <f t="shared" si="1"/>
        <v>0.24476987447698745</v>
      </c>
      <c r="D325" s="4">
        <f t="shared" si="1"/>
        <v>0.24476987447698745</v>
      </c>
      <c r="E325" s="4">
        <f t="shared" si="1"/>
        <v>0.24476987447698745</v>
      </c>
      <c r="F325" s="4">
        <f t="shared" si="1"/>
        <v>0.24476987447698745</v>
      </c>
      <c r="G325" s="4">
        <f t="shared" si="1"/>
        <v>0.24476987447698745</v>
      </c>
      <c r="H325" s="4">
        <f t="shared" si="1"/>
        <v>0.24476987447698745</v>
      </c>
      <c r="I325" s="4">
        <f t="shared" si="1"/>
        <v>0.24476987447698745</v>
      </c>
      <c r="J325" s="4">
        <f t="shared" si="1"/>
        <v>0.24476987447698745</v>
      </c>
      <c r="K325" s="4">
        <f t="shared" si="1"/>
        <v>0.24476987447698745</v>
      </c>
      <c r="L325" s="4">
        <f t="shared" si="1"/>
        <v>0.24476987447698745</v>
      </c>
      <c r="M325" s="4">
        <f t="shared" si="1"/>
        <v>0.24476987447698745</v>
      </c>
      <c r="N325" t="s">
        <v>242</v>
      </c>
      <c r="O325" t="s">
        <v>706</v>
      </c>
      <c r="P325" t="s">
        <v>707</v>
      </c>
      <c r="Q325" t="s">
        <v>245</v>
      </c>
    </row>
    <row r="326" spans="1:17" x14ac:dyDescent="0.25">
      <c r="A326" t="s">
        <v>713</v>
      </c>
      <c r="B326" t="s">
        <v>145</v>
      </c>
      <c r="C326" s="4">
        <f t="shared" ref="C326:M327" si="2">10%/0.956</f>
        <v>0.10460251046025106</v>
      </c>
      <c r="D326" s="4">
        <f t="shared" si="2"/>
        <v>0.10460251046025106</v>
      </c>
      <c r="E326" s="4">
        <f t="shared" si="2"/>
        <v>0.10460251046025106</v>
      </c>
      <c r="F326" s="4">
        <f t="shared" si="2"/>
        <v>0.10460251046025106</v>
      </c>
      <c r="G326" s="4">
        <f t="shared" si="2"/>
        <v>0.10460251046025106</v>
      </c>
      <c r="H326" s="4">
        <f t="shared" si="2"/>
        <v>0.10460251046025106</v>
      </c>
      <c r="I326" s="4">
        <f t="shared" si="2"/>
        <v>0.10460251046025106</v>
      </c>
      <c r="J326" s="4">
        <f t="shared" si="2"/>
        <v>0.10460251046025106</v>
      </c>
      <c r="K326" s="4">
        <f t="shared" si="2"/>
        <v>0.10460251046025106</v>
      </c>
      <c r="L326" s="4">
        <f t="shared" si="2"/>
        <v>0.10460251046025106</v>
      </c>
      <c r="M326" s="4">
        <f t="shared" si="2"/>
        <v>0.10460251046025106</v>
      </c>
      <c r="N326" t="s">
        <v>256</v>
      </c>
      <c r="O326" t="s">
        <v>712</v>
      </c>
      <c r="P326" t="s">
        <v>713</v>
      </c>
      <c r="Q326" t="s">
        <v>245</v>
      </c>
    </row>
    <row r="327" spans="1:17" x14ac:dyDescent="0.25">
      <c r="A327" t="s">
        <v>707</v>
      </c>
      <c r="B327" t="s">
        <v>145</v>
      </c>
      <c r="C327" s="4">
        <f t="shared" si="2"/>
        <v>0.10460251046025106</v>
      </c>
      <c r="D327" s="4">
        <f t="shared" si="2"/>
        <v>0.10460251046025106</v>
      </c>
      <c r="E327" s="4">
        <f t="shared" si="2"/>
        <v>0.10460251046025106</v>
      </c>
      <c r="F327" s="4">
        <f t="shared" si="2"/>
        <v>0.10460251046025106</v>
      </c>
      <c r="G327" s="4">
        <f t="shared" si="2"/>
        <v>0.10460251046025106</v>
      </c>
      <c r="H327" s="4">
        <f t="shared" si="2"/>
        <v>0.10460251046025106</v>
      </c>
      <c r="I327" s="4">
        <f t="shared" si="2"/>
        <v>0.10460251046025106</v>
      </c>
      <c r="J327" s="4">
        <f t="shared" si="2"/>
        <v>0.10460251046025106</v>
      </c>
      <c r="K327" s="4">
        <f t="shared" si="2"/>
        <v>0.10460251046025106</v>
      </c>
      <c r="L327" s="4">
        <f t="shared" si="2"/>
        <v>0.10460251046025106</v>
      </c>
      <c r="M327" s="4">
        <f t="shared" si="2"/>
        <v>0.10460251046025106</v>
      </c>
      <c r="N327" t="s">
        <v>242</v>
      </c>
      <c r="O327" t="s">
        <v>706</v>
      </c>
      <c r="P327" t="s">
        <v>707</v>
      </c>
      <c r="Q327" t="s">
        <v>245</v>
      </c>
    </row>
    <row r="328" spans="1:17" x14ac:dyDescent="0.25">
      <c r="A328" t="s">
        <v>713</v>
      </c>
      <c r="B328" t="s">
        <v>144</v>
      </c>
      <c r="C328" s="4">
        <f t="shared" ref="C328:M329" si="3">4.9%/0.956</f>
        <v>5.1255230125523014E-2</v>
      </c>
      <c r="D328" s="4">
        <f t="shared" si="3"/>
        <v>5.1255230125523014E-2</v>
      </c>
      <c r="E328" s="4">
        <f t="shared" si="3"/>
        <v>5.1255230125523014E-2</v>
      </c>
      <c r="F328" s="4">
        <f t="shared" si="3"/>
        <v>5.1255230125523014E-2</v>
      </c>
      <c r="G328" s="4">
        <f t="shared" si="3"/>
        <v>5.1255230125523014E-2</v>
      </c>
      <c r="H328" s="4">
        <f t="shared" si="3"/>
        <v>5.1255230125523014E-2</v>
      </c>
      <c r="I328" s="4">
        <f t="shared" si="3"/>
        <v>5.1255230125523014E-2</v>
      </c>
      <c r="J328" s="4">
        <f t="shared" si="3"/>
        <v>5.1255230125523014E-2</v>
      </c>
      <c r="K328" s="4">
        <f t="shared" si="3"/>
        <v>5.1255230125523014E-2</v>
      </c>
      <c r="L328" s="4">
        <f t="shared" si="3"/>
        <v>5.1255230125523014E-2</v>
      </c>
      <c r="M328" s="4">
        <f t="shared" si="3"/>
        <v>5.1255230125523014E-2</v>
      </c>
      <c r="N328" t="s">
        <v>256</v>
      </c>
      <c r="O328" t="s">
        <v>712</v>
      </c>
      <c r="P328" t="s">
        <v>713</v>
      </c>
      <c r="Q328" t="s">
        <v>245</v>
      </c>
    </row>
    <row r="329" spans="1:17" x14ac:dyDescent="0.25">
      <c r="A329" t="s">
        <v>707</v>
      </c>
      <c r="B329" t="s">
        <v>144</v>
      </c>
      <c r="C329" s="4">
        <f t="shared" si="3"/>
        <v>5.1255230125523014E-2</v>
      </c>
      <c r="D329" s="4">
        <f t="shared" si="3"/>
        <v>5.1255230125523014E-2</v>
      </c>
      <c r="E329" s="4">
        <f t="shared" si="3"/>
        <v>5.1255230125523014E-2</v>
      </c>
      <c r="F329" s="4">
        <f t="shared" si="3"/>
        <v>5.1255230125523014E-2</v>
      </c>
      <c r="G329" s="4">
        <f t="shared" si="3"/>
        <v>5.1255230125523014E-2</v>
      </c>
      <c r="H329" s="4">
        <f t="shared" si="3"/>
        <v>5.1255230125523014E-2</v>
      </c>
      <c r="I329" s="4">
        <f t="shared" si="3"/>
        <v>5.1255230125523014E-2</v>
      </c>
      <c r="J329" s="4">
        <f t="shared" si="3"/>
        <v>5.1255230125523014E-2</v>
      </c>
      <c r="K329" s="4">
        <f t="shared" si="3"/>
        <v>5.1255230125523014E-2</v>
      </c>
      <c r="L329" s="4">
        <f t="shared" si="3"/>
        <v>5.1255230125523014E-2</v>
      </c>
      <c r="M329" s="4">
        <f t="shared" si="3"/>
        <v>5.1255230125523014E-2</v>
      </c>
      <c r="N329" t="s">
        <v>242</v>
      </c>
      <c r="O329" t="s">
        <v>706</v>
      </c>
      <c r="P329" t="s">
        <v>707</v>
      </c>
      <c r="Q329" t="s">
        <v>245</v>
      </c>
    </row>
    <row r="330" spans="1:17" x14ac:dyDescent="0.25">
      <c r="A330" t="s">
        <v>713</v>
      </c>
      <c r="B330" t="s">
        <v>86</v>
      </c>
      <c r="C330" s="4">
        <f t="shared" ref="C330:M331" si="4">3.3%/0.956</f>
        <v>3.4518828451882845E-2</v>
      </c>
      <c r="D330" s="4">
        <f t="shared" si="4"/>
        <v>3.4518828451882845E-2</v>
      </c>
      <c r="E330" s="4">
        <f t="shared" si="4"/>
        <v>3.4518828451882845E-2</v>
      </c>
      <c r="F330" s="4">
        <f t="shared" si="4"/>
        <v>3.4518828451882845E-2</v>
      </c>
      <c r="G330" s="4">
        <f t="shared" si="4"/>
        <v>3.4518828451882845E-2</v>
      </c>
      <c r="H330" s="4">
        <f t="shared" si="4"/>
        <v>3.4518828451882845E-2</v>
      </c>
      <c r="I330" s="4">
        <f t="shared" si="4"/>
        <v>3.4518828451882845E-2</v>
      </c>
      <c r="J330" s="4">
        <f t="shared" si="4"/>
        <v>3.4518828451882845E-2</v>
      </c>
      <c r="K330" s="4">
        <f t="shared" si="4"/>
        <v>3.4518828451882845E-2</v>
      </c>
      <c r="L330" s="4">
        <f t="shared" si="4"/>
        <v>3.4518828451882845E-2</v>
      </c>
      <c r="M330" s="4">
        <f t="shared" si="4"/>
        <v>3.4518828451882845E-2</v>
      </c>
      <c r="N330" t="s">
        <v>256</v>
      </c>
      <c r="O330" t="s">
        <v>712</v>
      </c>
      <c r="P330" t="s">
        <v>713</v>
      </c>
      <c r="Q330" t="s">
        <v>245</v>
      </c>
    </row>
    <row r="331" spans="1:17" x14ac:dyDescent="0.25">
      <c r="A331" t="s">
        <v>707</v>
      </c>
      <c r="B331" t="s">
        <v>86</v>
      </c>
      <c r="C331" s="4">
        <f t="shared" si="4"/>
        <v>3.4518828451882845E-2</v>
      </c>
      <c r="D331" s="4">
        <f t="shared" si="4"/>
        <v>3.4518828451882845E-2</v>
      </c>
      <c r="E331" s="4">
        <f t="shared" si="4"/>
        <v>3.4518828451882845E-2</v>
      </c>
      <c r="F331" s="4">
        <f t="shared" si="4"/>
        <v>3.4518828451882845E-2</v>
      </c>
      <c r="G331" s="4">
        <f t="shared" si="4"/>
        <v>3.4518828451882845E-2</v>
      </c>
      <c r="H331" s="4">
        <f t="shared" si="4"/>
        <v>3.4518828451882845E-2</v>
      </c>
      <c r="I331" s="4">
        <f t="shared" si="4"/>
        <v>3.4518828451882845E-2</v>
      </c>
      <c r="J331" s="4">
        <f t="shared" si="4"/>
        <v>3.4518828451882845E-2</v>
      </c>
      <c r="K331" s="4">
        <f t="shared" si="4"/>
        <v>3.4518828451882845E-2</v>
      </c>
      <c r="L331" s="4">
        <f t="shared" si="4"/>
        <v>3.4518828451882845E-2</v>
      </c>
      <c r="M331" s="4">
        <f t="shared" si="4"/>
        <v>3.4518828451882845E-2</v>
      </c>
      <c r="N331" t="s">
        <v>242</v>
      </c>
      <c r="O331" t="s">
        <v>706</v>
      </c>
      <c r="P331" t="s">
        <v>707</v>
      </c>
      <c r="Q331" t="s">
        <v>245</v>
      </c>
    </row>
    <row r="332" spans="1:17" x14ac:dyDescent="0.25">
      <c r="A332" t="s">
        <v>713</v>
      </c>
      <c r="B332" t="s">
        <v>124</v>
      </c>
      <c r="C332" s="4">
        <f t="shared" ref="C332:M333" si="5">3%/0.956</f>
        <v>3.1380753138075312E-2</v>
      </c>
      <c r="D332" s="4">
        <f t="shared" si="5"/>
        <v>3.1380753138075312E-2</v>
      </c>
      <c r="E332" s="4">
        <f t="shared" si="5"/>
        <v>3.1380753138075312E-2</v>
      </c>
      <c r="F332" s="4">
        <f t="shared" si="5"/>
        <v>3.1380753138075312E-2</v>
      </c>
      <c r="G332" s="4">
        <f t="shared" si="5"/>
        <v>3.1380753138075312E-2</v>
      </c>
      <c r="H332" s="4">
        <f t="shared" si="5"/>
        <v>3.1380753138075312E-2</v>
      </c>
      <c r="I332" s="4">
        <f t="shared" si="5"/>
        <v>3.1380753138075312E-2</v>
      </c>
      <c r="J332" s="4">
        <f t="shared" si="5"/>
        <v>3.1380753138075312E-2</v>
      </c>
      <c r="K332" s="4">
        <f t="shared" si="5"/>
        <v>3.1380753138075312E-2</v>
      </c>
      <c r="L332" s="4">
        <f t="shared" si="5"/>
        <v>3.1380753138075312E-2</v>
      </c>
      <c r="M332" s="4">
        <f t="shared" si="5"/>
        <v>3.1380753138075312E-2</v>
      </c>
      <c r="N332" t="s">
        <v>256</v>
      </c>
      <c r="O332" t="s">
        <v>712</v>
      </c>
      <c r="P332" t="s">
        <v>713</v>
      </c>
      <c r="Q332" t="s">
        <v>245</v>
      </c>
    </row>
    <row r="333" spans="1:17" x14ac:dyDescent="0.25">
      <c r="A333" t="s">
        <v>707</v>
      </c>
      <c r="B333" t="s">
        <v>124</v>
      </c>
      <c r="C333" s="4">
        <f t="shared" si="5"/>
        <v>3.1380753138075312E-2</v>
      </c>
      <c r="D333" s="4">
        <f t="shared" si="5"/>
        <v>3.1380753138075312E-2</v>
      </c>
      <c r="E333" s="4">
        <f t="shared" si="5"/>
        <v>3.1380753138075312E-2</v>
      </c>
      <c r="F333" s="4">
        <f t="shared" si="5"/>
        <v>3.1380753138075312E-2</v>
      </c>
      <c r="G333" s="4">
        <f t="shared" si="5"/>
        <v>3.1380753138075312E-2</v>
      </c>
      <c r="H333" s="4">
        <f t="shared" si="5"/>
        <v>3.1380753138075312E-2</v>
      </c>
      <c r="I333" s="4">
        <f t="shared" si="5"/>
        <v>3.1380753138075312E-2</v>
      </c>
      <c r="J333" s="4">
        <f t="shared" si="5"/>
        <v>3.1380753138075312E-2</v>
      </c>
      <c r="K333" s="4">
        <f t="shared" si="5"/>
        <v>3.1380753138075312E-2</v>
      </c>
      <c r="L333" s="4">
        <f t="shared" si="5"/>
        <v>3.1380753138075312E-2</v>
      </c>
      <c r="M333" s="4">
        <f t="shared" si="5"/>
        <v>3.1380753138075312E-2</v>
      </c>
      <c r="N333" t="s">
        <v>242</v>
      </c>
      <c r="O333" t="s">
        <v>706</v>
      </c>
      <c r="P333" t="s">
        <v>707</v>
      </c>
      <c r="Q333" t="s">
        <v>245</v>
      </c>
    </row>
    <row r="334" spans="1:17" x14ac:dyDescent="0.25">
      <c r="A334" t="s">
        <v>713</v>
      </c>
      <c r="B334" t="s">
        <v>107</v>
      </c>
      <c r="C334" s="4">
        <f t="shared" ref="C334:M335" si="6">1.9%/0.956</f>
        <v>1.9874476987447699E-2</v>
      </c>
      <c r="D334" s="4">
        <f t="shared" si="6"/>
        <v>1.9874476987447699E-2</v>
      </c>
      <c r="E334" s="4">
        <f t="shared" si="6"/>
        <v>1.9874476987447699E-2</v>
      </c>
      <c r="F334" s="4">
        <f t="shared" si="6"/>
        <v>1.9874476987447699E-2</v>
      </c>
      <c r="G334" s="4">
        <f t="shared" si="6"/>
        <v>1.9874476987447699E-2</v>
      </c>
      <c r="H334" s="4">
        <f t="shared" si="6"/>
        <v>1.9874476987447699E-2</v>
      </c>
      <c r="I334" s="4">
        <f t="shared" si="6"/>
        <v>1.9874476987447699E-2</v>
      </c>
      <c r="J334" s="4">
        <f t="shared" si="6"/>
        <v>1.9874476987447699E-2</v>
      </c>
      <c r="K334" s="4">
        <f t="shared" si="6"/>
        <v>1.9874476987447699E-2</v>
      </c>
      <c r="L334" s="4">
        <f t="shared" si="6"/>
        <v>1.9874476987447699E-2</v>
      </c>
      <c r="M334" s="4">
        <f t="shared" si="6"/>
        <v>1.9874476987447699E-2</v>
      </c>
      <c r="N334" t="s">
        <v>333</v>
      </c>
      <c r="O334" t="s">
        <v>712</v>
      </c>
      <c r="P334" t="s">
        <v>713</v>
      </c>
      <c r="Q334" t="s">
        <v>245</v>
      </c>
    </row>
    <row r="335" spans="1:17" x14ac:dyDescent="0.25">
      <c r="A335" t="s">
        <v>707</v>
      </c>
      <c r="B335" t="s">
        <v>107</v>
      </c>
      <c r="C335" s="4">
        <f t="shared" si="6"/>
        <v>1.9874476987447699E-2</v>
      </c>
      <c r="D335" s="4">
        <f t="shared" si="6"/>
        <v>1.9874476987447699E-2</v>
      </c>
      <c r="E335" s="4">
        <f t="shared" si="6"/>
        <v>1.9874476987447699E-2</v>
      </c>
      <c r="F335" s="4">
        <f t="shared" si="6"/>
        <v>1.9874476987447699E-2</v>
      </c>
      <c r="G335" s="4">
        <f t="shared" si="6"/>
        <v>1.9874476987447699E-2</v>
      </c>
      <c r="H335" s="4">
        <f t="shared" si="6"/>
        <v>1.9874476987447699E-2</v>
      </c>
      <c r="I335" s="4">
        <f t="shared" si="6"/>
        <v>1.9874476987447699E-2</v>
      </c>
      <c r="J335" s="4">
        <f t="shared" si="6"/>
        <v>1.9874476987447699E-2</v>
      </c>
      <c r="K335" s="4">
        <f t="shared" si="6"/>
        <v>1.9874476987447699E-2</v>
      </c>
      <c r="L335" s="4">
        <f t="shared" si="6"/>
        <v>1.9874476987447699E-2</v>
      </c>
      <c r="M335" s="4">
        <f t="shared" si="6"/>
        <v>1.9874476987447699E-2</v>
      </c>
      <c r="N335" t="s">
        <v>242</v>
      </c>
      <c r="O335" t="s">
        <v>706</v>
      </c>
      <c r="P335" t="s">
        <v>707</v>
      </c>
      <c r="Q335" t="s">
        <v>245</v>
      </c>
    </row>
    <row r="336" spans="1:17" x14ac:dyDescent="0.25">
      <c r="A336" t="s">
        <v>713</v>
      </c>
      <c r="B336" t="s">
        <v>117</v>
      </c>
      <c r="C336" s="4">
        <f t="shared" ref="C336:M337" si="7">1.7%/0.956</f>
        <v>1.7782426778242679E-2</v>
      </c>
      <c r="D336" s="4">
        <f t="shared" si="7"/>
        <v>1.7782426778242679E-2</v>
      </c>
      <c r="E336" s="4">
        <f t="shared" si="7"/>
        <v>1.7782426778242679E-2</v>
      </c>
      <c r="F336" s="4">
        <f t="shared" si="7"/>
        <v>1.7782426778242679E-2</v>
      </c>
      <c r="G336" s="4">
        <f t="shared" si="7"/>
        <v>1.7782426778242679E-2</v>
      </c>
      <c r="H336" s="4">
        <f t="shared" si="7"/>
        <v>1.7782426778242679E-2</v>
      </c>
      <c r="I336" s="4">
        <f t="shared" si="7"/>
        <v>1.7782426778242679E-2</v>
      </c>
      <c r="J336" s="4">
        <f t="shared" si="7"/>
        <v>1.7782426778242679E-2</v>
      </c>
      <c r="K336" s="4">
        <f t="shared" si="7"/>
        <v>1.7782426778242679E-2</v>
      </c>
      <c r="L336" s="4">
        <f t="shared" si="7"/>
        <v>1.7782426778242679E-2</v>
      </c>
      <c r="M336" s="4">
        <f t="shared" si="7"/>
        <v>1.7782426778242679E-2</v>
      </c>
      <c r="N336" t="s">
        <v>333</v>
      </c>
      <c r="O336" t="s">
        <v>712</v>
      </c>
      <c r="P336" t="s">
        <v>713</v>
      </c>
      <c r="Q336" t="s">
        <v>245</v>
      </c>
    </row>
    <row r="337" spans="1:17" x14ac:dyDescent="0.25">
      <c r="A337" t="s">
        <v>707</v>
      </c>
      <c r="B337" t="s">
        <v>117</v>
      </c>
      <c r="C337" s="4">
        <f t="shared" si="7"/>
        <v>1.7782426778242679E-2</v>
      </c>
      <c r="D337" s="4">
        <f t="shared" si="7"/>
        <v>1.7782426778242679E-2</v>
      </c>
      <c r="E337" s="4">
        <f t="shared" si="7"/>
        <v>1.7782426778242679E-2</v>
      </c>
      <c r="F337" s="4">
        <f t="shared" si="7"/>
        <v>1.7782426778242679E-2</v>
      </c>
      <c r="G337" s="4">
        <f t="shared" si="7"/>
        <v>1.7782426778242679E-2</v>
      </c>
      <c r="H337" s="4">
        <f t="shared" si="7"/>
        <v>1.7782426778242679E-2</v>
      </c>
      <c r="I337" s="4">
        <f t="shared" si="7"/>
        <v>1.7782426778242679E-2</v>
      </c>
      <c r="J337" s="4">
        <f t="shared" si="7"/>
        <v>1.7782426778242679E-2</v>
      </c>
      <c r="K337" s="4">
        <f t="shared" si="7"/>
        <v>1.7782426778242679E-2</v>
      </c>
      <c r="L337" s="4">
        <f t="shared" si="7"/>
        <v>1.7782426778242679E-2</v>
      </c>
      <c r="M337" s="4">
        <f t="shared" si="7"/>
        <v>1.7782426778242679E-2</v>
      </c>
      <c r="N337" t="s">
        <v>242</v>
      </c>
      <c r="O337" t="s">
        <v>706</v>
      </c>
      <c r="P337" t="s">
        <v>707</v>
      </c>
      <c r="Q337" t="s">
        <v>245</v>
      </c>
    </row>
    <row r="338" spans="1:17" x14ac:dyDescent="0.25">
      <c r="A338" t="s">
        <v>713</v>
      </c>
      <c r="B338" t="s">
        <v>146</v>
      </c>
      <c r="C338" s="4">
        <f t="shared" ref="C338:M339" si="8">1.3%/0.956</f>
        <v>1.3598326359832639E-2</v>
      </c>
      <c r="D338" s="4">
        <f t="shared" si="8"/>
        <v>1.3598326359832639E-2</v>
      </c>
      <c r="E338" s="4">
        <f t="shared" si="8"/>
        <v>1.3598326359832639E-2</v>
      </c>
      <c r="F338" s="4">
        <f t="shared" si="8"/>
        <v>1.3598326359832639E-2</v>
      </c>
      <c r="G338" s="4">
        <f t="shared" si="8"/>
        <v>1.3598326359832639E-2</v>
      </c>
      <c r="H338" s="4">
        <f t="shared" si="8"/>
        <v>1.3598326359832639E-2</v>
      </c>
      <c r="I338" s="4">
        <f t="shared" si="8"/>
        <v>1.3598326359832639E-2</v>
      </c>
      <c r="J338" s="4">
        <f t="shared" si="8"/>
        <v>1.3598326359832639E-2</v>
      </c>
      <c r="K338" s="4">
        <f t="shared" si="8"/>
        <v>1.3598326359832639E-2</v>
      </c>
      <c r="L338" s="4">
        <f t="shared" si="8"/>
        <v>1.3598326359832639E-2</v>
      </c>
      <c r="M338" s="4">
        <f t="shared" si="8"/>
        <v>1.3598326359832639E-2</v>
      </c>
      <c r="N338" t="s">
        <v>256</v>
      </c>
      <c r="O338" t="s">
        <v>712</v>
      </c>
      <c r="P338" t="s">
        <v>713</v>
      </c>
      <c r="Q338" t="s">
        <v>245</v>
      </c>
    </row>
    <row r="339" spans="1:17" x14ac:dyDescent="0.25">
      <c r="A339" t="s">
        <v>707</v>
      </c>
      <c r="B339" t="s">
        <v>146</v>
      </c>
      <c r="C339" s="4">
        <f t="shared" si="8"/>
        <v>1.3598326359832639E-2</v>
      </c>
      <c r="D339" s="4">
        <f t="shared" si="8"/>
        <v>1.3598326359832639E-2</v>
      </c>
      <c r="E339" s="4">
        <f t="shared" si="8"/>
        <v>1.3598326359832639E-2</v>
      </c>
      <c r="F339" s="4">
        <f t="shared" si="8"/>
        <v>1.3598326359832639E-2</v>
      </c>
      <c r="G339" s="4">
        <f t="shared" si="8"/>
        <v>1.3598326359832639E-2</v>
      </c>
      <c r="H339" s="4">
        <f t="shared" si="8"/>
        <v>1.3598326359832639E-2</v>
      </c>
      <c r="I339" s="4">
        <f t="shared" si="8"/>
        <v>1.3598326359832639E-2</v>
      </c>
      <c r="J339" s="4">
        <f t="shared" si="8"/>
        <v>1.3598326359832639E-2</v>
      </c>
      <c r="K339" s="4">
        <f t="shared" si="8"/>
        <v>1.3598326359832639E-2</v>
      </c>
      <c r="L339" s="4">
        <f t="shared" si="8"/>
        <v>1.3598326359832639E-2</v>
      </c>
      <c r="M339" s="4">
        <f t="shared" si="8"/>
        <v>1.3598326359832639E-2</v>
      </c>
      <c r="N339" t="s">
        <v>242</v>
      </c>
      <c r="O339" t="s">
        <v>706</v>
      </c>
      <c r="P339" t="s">
        <v>707</v>
      </c>
      <c r="Q339" t="s">
        <v>245</v>
      </c>
    </row>
    <row r="340" spans="1:17" x14ac:dyDescent="0.25">
      <c r="A340" t="s">
        <v>713</v>
      </c>
      <c r="B340" t="s">
        <v>102</v>
      </c>
      <c r="C340" s="4">
        <f t="shared" ref="C340:M341" si="9">0.7%/0.956</f>
        <v>7.3221757322175724E-3</v>
      </c>
      <c r="D340" s="4">
        <f t="shared" si="9"/>
        <v>7.3221757322175724E-3</v>
      </c>
      <c r="E340" s="4">
        <f t="shared" si="9"/>
        <v>7.3221757322175724E-3</v>
      </c>
      <c r="F340" s="4">
        <f t="shared" si="9"/>
        <v>7.3221757322175724E-3</v>
      </c>
      <c r="G340" s="4">
        <f t="shared" si="9"/>
        <v>7.3221757322175724E-3</v>
      </c>
      <c r="H340" s="4">
        <f t="shared" si="9"/>
        <v>7.3221757322175724E-3</v>
      </c>
      <c r="I340" s="4">
        <f t="shared" si="9"/>
        <v>7.3221757322175724E-3</v>
      </c>
      <c r="J340" s="4">
        <f t="shared" si="9"/>
        <v>7.3221757322175724E-3</v>
      </c>
      <c r="K340" s="4">
        <f t="shared" si="9"/>
        <v>7.3221757322175724E-3</v>
      </c>
      <c r="L340" s="4">
        <f t="shared" si="9"/>
        <v>7.3221757322175724E-3</v>
      </c>
      <c r="M340" s="4">
        <f t="shared" si="9"/>
        <v>7.3221757322175724E-3</v>
      </c>
      <c r="N340" t="s">
        <v>256</v>
      </c>
      <c r="O340" t="s">
        <v>712</v>
      </c>
      <c r="P340" t="s">
        <v>713</v>
      </c>
      <c r="Q340" t="s">
        <v>245</v>
      </c>
    </row>
    <row r="341" spans="1:17" x14ac:dyDescent="0.25">
      <c r="A341" t="s">
        <v>707</v>
      </c>
      <c r="B341" t="s">
        <v>102</v>
      </c>
      <c r="C341" s="4">
        <f t="shared" si="9"/>
        <v>7.3221757322175724E-3</v>
      </c>
      <c r="D341" s="4">
        <f t="shared" si="9"/>
        <v>7.3221757322175724E-3</v>
      </c>
      <c r="E341" s="4">
        <f t="shared" si="9"/>
        <v>7.3221757322175724E-3</v>
      </c>
      <c r="F341" s="4">
        <f t="shared" si="9"/>
        <v>7.3221757322175724E-3</v>
      </c>
      <c r="G341" s="4">
        <f t="shared" si="9"/>
        <v>7.3221757322175724E-3</v>
      </c>
      <c r="H341" s="4">
        <f t="shared" si="9"/>
        <v>7.3221757322175724E-3</v>
      </c>
      <c r="I341" s="4">
        <f t="shared" si="9"/>
        <v>7.3221757322175724E-3</v>
      </c>
      <c r="J341" s="4">
        <f t="shared" si="9"/>
        <v>7.3221757322175724E-3</v>
      </c>
      <c r="K341" s="4">
        <f t="shared" si="9"/>
        <v>7.3221757322175724E-3</v>
      </c>
      <c r="L341" s="4">
        <f t="shared" si="9"/>
        <v>7.3221757322175724E-3</v>
      </c>
      <c r="M341" s="4">
        <f t="shared" si="9"/>
        <v>7.3221757322175724E-3</v>
      </c>
      <c r="N341" t="s">
        <v>242</v>
      </c>
      <c r="O341" t="s">
        <v>706</v>
      </c>
      <c r="P341" t="s">
        <v>707</v>
      </c>
      <c r="Q341" t="s">
        <v>245</v>
      </c>
    </row>
    <row r="342" spans="1:17" x14ac:dyDescent="0.25">
      <c r="A342" t="s">
        <v>713</v>
      </c>
      <c r="B342" t="s">
        <v>182</v>
      </c>
      <c r="C342" s="4">
        <f t="shared" ref="C342:M343" si="10">0.1%/0.956</f>
        <v>1.0460251046025106E-3</v>
      </c>
      <c r="D342" s="4">
        <f t="shared" si="10"/>
        <v>1.0460251046025106E-3</v>
      </c>
      <c r="E342" s="4">
        <f t="shared" si="10"/>
        <v>1.0460251046025106E-3</v>
      </c>
      <c r="F342" s="4">
        <f t="shared" si="10"/>
        <v>1.0460251046025106E-3</v>
      </c>
      <c r="G342" s="4">
        <f t="shared" si="10"/>
        <v>1.0460251046025106E-3</v>
      </c>
      <c r="H342" s="4">
        <f t="shared" si="10"/>
        <v>1.0460251046025106E-3</v>
      </c>
      <c r="I342" s="4">
        <f t="shared" si="10"/>
        <v>1.0460251046025106E-3</v>
      </c>
      <c r="J342" s="4">
        <f t="shared" si="10"/>
        <v>1.0460251046025106E-3</v>
      </c>
      <c r="K342" s="4">
        <f t="shared" si="10"/>
        <v>1.0460251046025106E-3</v>
      </c>
      <c r="L342" s="4">
        <f t="shared" si="10"/>
        <v>1.0460251046025106E-3</v>
      </c>
      <c r="M342" s="4">
        <f t="shared" si="10"/>
        <v>1.0460251046025106E-3</v>
      </c>
      <c r="N342" t="s">
        <v>333</v>
      </c>
      <c r="O342" t="s">
        <v>712</v>
      </c>
      <c r="P342" t="s">
        <v>713</v>
      </c>
      <c r="Q342" t="s">
        <v>245</v>
      </c>
    </row>
    <row r="343" spans="1:17" x14ac:dyDescent="0.25">
      <c r="A343" t="s">
        <v>707</v>
      </c>
      <c r="B343" t="s">
        <v>182</v>
      </c>
      <c r="C343" s="4">
        <f t="shared" si="10"/>
        <v>1.0460251046025106E-3</v>
      </c>
      <c r="D343" s="4">
        <f t="shared" si="10"/>
        <v>1.0460251046025106E-3</v>
      </c>
      <c r="E343" s="4">
        <f t="shared" si="10"/>
        <v>1.0460251046025106E-3</v>
      </c>
      <c r="F343" s="4">
        <f t="shared" si="10"/>
        <v>1.0460251046025106E-3</v>
      </c>
      <c r="G343" s="4">
        <f t="shared" si="10"/>
        <v>1.0460251046025106E-3</v>
      </c>
      <c r="H343" s="4">
        <f t="shared" si="10"/>
        <v>1.0460251046025106E-3</v>
      </c>
      <c r="I343" s="4">
        <f t="shared" si="10"/>
        <v>1.0460251046025106E-3</v>
      </c>
      <c r="J343" s="4">
        <f t="shared" si="10"/>
        <v>1.0460251046025106E-3</v>
      </c>
      <c r="K343" s="4">
        <f t="shared" si="10"/>
        <v>1.0460251046025106E-3</v>
      </c>
      <c r="L343" s="4">
        <f t="shared" si="10"/>
        <v>1.0460251046025106E-3</v>
      </c>
      <c r="M343" s="4">
        <f t="shared" si="10"/>
        <v>1.0460251046025106E-3</v>
      </c>
      <c r="N343" t="s">
        <v>242</v>
      </c>
      <c r="O343" t="s">
        <v>706</v>
      </c>
      <c r="P343" t="s">
        <v>707</v>
      </c>
      <c r="Q343" t="s">
        <v>245</v>
      </c>
    </row>
    <row r="344" spans="1:17" x14ac:dyDescent="0.25">
      <c r="A344" t="s">
        <v>713</v>
      </c>
      <c r="B344" t="s">
        <v>99</v>
      </c>
      <c r="C344" s="4">
        <f t="shared" ref="C344:M353" si="11">0.1%/0.956</f>
        <v>1.0460251046025106E-3</v>
      </c>
      <c r="D344" s="4">
        <f t="shared" si="11"/>
        <v>1.0460251046025106E-3</v>
      </c>
      <c r="E344" s="4">
        <f t="shared" si="11"/>
        <v>1.0460251046025106E-3</v>
      </c>
      <c r="F344" s="4">
        <f t="shared" si="11"/>
        <v>1.0460251046025106E-3</v>
      </c>
      <c r="G344" s="4">
        <f t="shared" si="11"/>
        <v>1.0460251046025106E-3</v>
      </c>
      <c r="H344" s="4">
        <f t="shared" si="11"/>
        <v>1.0460251046025106E-3</v>
      </c>
      <c r="I344" s="4">
        <f t="shared" si="11"/>
        <v>1.0460251046025106E-3</v>
      </c>
      <c r="J344" s="4">
        <f t="shared" si="11"/>
        <v>1.0460251046025106E-3</v>
      </c>
      <c r="K344" s="4">
        <f t="shared" si="11"/>
        <v>1.0460251046025106E-3</v>
      </c>
      <c r="L344" s="4">
        <f t="shared" si="11"/>
        <v>1.0460251046025106E-3</v>
      </c>
      <c r="M344" s="4">
        <f t="shared" si="11"/>
        <v>1.0460251046025106E-3</v>
      </c>
      <c r="N344" t="s">
        <v>256</v>
      </c>
      <c r="O344" t="s">
        <v>712</v>
      </c>
      <c r="P344" t="s">
        <v>713</v>
      </c>
      <c r="Q344" t="s">
        <v>245</v>
      </c>
    </row>
    <row r="345" spans="1:17" x14ac:dyDescent="0.25">
      <c r="A345" t="s">
        <v>707</v>
      </c>
      <c r="B345" t="s">
        <v>99</v>
      </c>
      <c r="C345" s="4">
        <f t="shared" si="11"/>
        <v>1.0460251046025106E-3</v>
      </c>
      <c r="D345" s="4">
        <f t="shared" si="11"/>
        <v>1.0460251046025106E-3</v>
      </c>
      <c r="E345" s="4">
        <f t="shared" si="11"/>
        <v>1.0460251046025106E-3</v>
      </c>
      <c r="F345" s="4">
        <f t="shared" si="11"/>
        <v>1.0460251046025106E-3</v>
      </c>
      <c r="G345" s="4">
        <f t="shared" si="11"/>
        <v>1.0460251046025106E-3</v>
      </c>
      <c r="H345" s="4">
        <f t="shared" si="11"/>
        <v>1.0460251046025106E-3</v>
      </c>
      <c r="I345" s="4">
        <f t="shared" si="11"/>
        <v>1.0460251046025106E-3</v>
      </c>
      <c r="J345" s="4">
        <f t="shared" si="11"/>
        <v>1.0460251046025106E-3</v>
      </c>
      <c r="K345" s="4">
        <f t="shared" si="11"/>
        <v>1.0460251046025106E-3</v>
      </c>
      <c r="L345" s="4">
        <f t="shared" si="11"/>
        <v>1.0460251046025106E-3</v>
      </c>
      <c r="M345" s="4">
        <f t="shared" si="11"/>
        <v>1.0460251046025106E-3</v>
      </c>
      <c r="N345" t="s">
        <v>242</v>
      </c>
      <c r="O345" t="s">
        <v>706</v>
      </c>
      <c r="P345" t="s">
        <v>707</v>
      </c>
      <c r="Q345" t="s">
        <v>245</v>
      </c>
    </row>
    <row r="346" spans="1:17" x14ac:dyDescent="0.25">
      <c r="A346" t="s">
        <v>713</v>
      </c>
      <c r="B346" t="s">
        <v>135</v>
      </c>
      <c r="C346" s="4">
        <f t="shared" si="11"/>
        <v>1.0460251046025106E-3</v>
      </c>
      <c r="D346" s="4">
        <f t="shared" si="11"/>
        <v>1.0460251046025106E-3</v>
      </c>
      <c r="E346" s="4">
        <f t="shared" si="11"/>
        <v>1.0460251046025106E-3</v>
      </c>
      <c r="F346" s="4">
        <f t="shared" si="11"/>
        <v>1.0460251046025106E-3</v>
      </c>
      <c r="G346" s="4">
        <f t="shared" si="11"/>
        <v>1.0460251046025106E-3</v>
      </c>
      <c r="H346" s="4">
        <f t="shared" si="11"/>
        <v>1.0460251046025106E-3</v>
      </c>
      <c r="I346" s="4">
        <f t="shared" si="11"/>
        <v>1.0460251046025106E-3</v>
      </c>
      <c r="J346" s="4">
        <f t="shared" si="11"/>
        <v>1.0460251046025106E-3</v>
      </c>
      <c r="K346" s="4">
        <f t="shared" si="11"/>
        <v>1.0460251046025106E-3</v>
      </c>
      <c r="L346" s="4">
        <f t="shared" si="11"/>
        <v>1.0460251046025106E-3</v>
      </c>
      <c r="M346" s="4">
        <f t="shared" si="11"/>
        <v>1.0460251046025106E-3</v>
      </c>
      <c r="N346" t="s">
        <v>333</v>
      </c>
      <c r="O346" t="s">
        <v>712</v>
      </c>
      <c r="P346" t="s">
        <v>713</v>
      </c>
      <c r="Q346" t="s">
        <v>245</v>
      </c>
    </row>
    <row r="347" spans="1:17" x14ac:dyDescent="0.25">
      <c r="A347" t="s">
        <v>707</v>
      </c>
      <c r="B347" t="s">
        <v>135</v>
      </c>
      <c r="C347" s="4">
        <f t="shared" si="11"/>
        <v>1.0460251046025106E-3</v>
      </c>
      <c r="D347" s="4">
        <f t="shared" si="11"/>
        <v>1.0460251046025106E-3</v>
      </c>
      <c r="E347" s="4">
        <f t="shared" si="11"/>
        <v>1.0460251046025106E-3</v>
      </c>
      <c r="F347" s="4">
        <f t="shared" si="11"/>
        <v>1.0460251046025106E-3</v>
      </c>
      <c r="G347" s="4">
        <f t="shared" si="11"/>
        <v>1.0460251046025106E-3</v>
      </c>
      <c r="H347" s="4">
        <f t="shared" si="11"/>
        <v>1.0460251046025106E-3</v>
      </c>
      <c r="I347" s="4">
        <f t="shared" si="11"/>
        <v>1.0460251046025106E-3</v>
      </c>
      <c r="J347" s="4">
        <f t="shared" si="11"/>
        <v>1.0460251046025106E-3</v>
      </c>
      <c r="K347" s="4">
        <f t="shared" si="11"/>
        <v>1.0460251046025106E-3</v>
      </c>
      <c r="L347" s="4">
        <f t="shared" si="11"/>
        <v>1.0460251046025106E-3</v>
      </c>
      <c r="M347" s="4">
        <f t="shared" si="11"/>
        <v>1.0460251046025106E-3</v>
      </c>
      <c r="N347" t="s">
        <v>242</v>
      </c>
      <c r="O347" t="s">
        <v>706</v>
      </c>
      <c r="P347" t="s">
        <v>707</v>
      </c>
      <c r="Q347" t="s">
        <v>245</v>
      </c>
    </row>
    <row r="348" spans="1:17" x14ac:dyDescent="0.25">
      <c r="A348" t="s">
        <v>713</v>
      </c>
      <c r="B348" t="s">
        <v>178</v>
      </c>
      <c r="C348" s="4">
        <f t="shared" si="11"/>
        <v>1.0460251046025106E-3</v>
      </c>
      <c r="D348" s="4">
        <f t="shared" si="11"/>
        <v>1.0460251046025106E-3</v>
      </c>
      <c r="E348" s="4">
        <f t="shared" si="11"/>
        <v>1.0460251046025106E-3</v>
      </c>
      <c r="F348" s="4">
        <f t="shared" si="11"/>
        <v>1.0460251046025106E-3</v>
      </c>
      <c r="G348" s="4">
        <f t="shared" si="11"/>
        <v>1.0460251046025106E-3</v>
      </c>
      <c r="H348" s="4">
        <f t="shared" si="11"/>
        <v>1.0460251046025106E-3</v>
      </c>
      <c r="I348" s="4">
        <f t="shared" si="11"/>
        <v>1.0460251046025106E-3</v>
      </c>
      <c r="J348" s="4">
        <f t="shared" si="11"/>
        <v>1.0460251046025106E-3</v>
      </c>
      <c r="K348" s="4">
        <f t="shared" si="11"/>
        <v>1.0460251046025106E-3</v>
      </c>
      <c r="L348" s="4">
        <f t="shared" si="11"/>
        <v>1.0460251046025106E-3</v>
      </c>
      <c r="M348" s="4">
        <f t="shared" si="11"/>
        <v>1.0460251046025106E-3</v>
      </c>
      <c r="N348" t="s">
        <v>333</v>
      </c>
      <c r="O348" t="s">
        <v>712</v>
      </c>
      <c r="P348" t="s">
        <v>713</v>
      </c>
      <c r="Q348" t="s">
        <v>245</v>
      </c>
    </row>
    <row r="349" spans="1:17" x14ac:dyDescent="0.25">
      <c r="A349" t="s">
        <v>707</v>
      </c>
      <c r="B349" t="s">
        <v>178</v>
      </c>
      <c r="C349" s="4">
        <f t="shared" si="11"/>
        <v>1.0460251046025106E-3</v>
      </c>
      <c r="D349" s="4">
        <f t="shared" si="11"/>
        <v>1.0460251046025106E-3</v>
      </c>
      <c r="E349" s="4">
        <f t="shared" si="11"/>
        <v>1.0460251046025106E-3</v>
      </c>
      <c r="F349" s="4">
        <f t="shared" si="11"/>
        <v>1.0460251046025106E-3</v>
      </c>
      <c r="G349" s="4">
        <f t="shared" si="11"/>
        <v>1.0460251046025106E-3</v>
      </c>
      <c r="H349" s="4">
        <f t="shared" si="11"/>
        <v>1.0460251046025106E-3</v>
      </c>
      <c r="I349" s="4">
        <f t="shared" si="11"/>
        <v>1.0460251046025106E-3</v>
      </c>
      <c r="J349" s="4">
        <f t="shared" si="11"/>
        <v>1.0460251046025106E-3</v>
      </c>
      <c r="K349" s="4">
        <f t="shared" si="11"/>
        <v>1.0460251046025106E-3</v>
      </c>
      <c r="L349" s="4">
        <f t="shared" si="11"/>
        <v>1.0460251046025106E-3</v>
      </c>
      <c r="M349" s="4">
        <f t="shared" si="11"/>
        <v>1.0460251046025106E-3</v>
      </c>
      <c r="N349" t="s">
        <v>242</v>
      </c>
      <c r="O349" t="s">
        <v>706</v>
      </c>
      <c r="P349" t="s">
        <v>707</v>
      </c>
      <c r="Q349" t="s">
        <v>245</v>
      </c>
    </row>
    <row r="350" spans="1:17" x14ac:dyDescent="0.25">
      <c r="A350" t="s">
        <v>713</v>
      </c>
      <c r="B350" t="s">
        <v>88</v>
      </c>
      <c r="C350" s="4">
        <f t="shared" si="11"/>
        <v>1.0460251046025106E-3</v>
      </c>
      <c r="D350" s="4">
        <f t="shared" si="11"/>
        <v>1.0460251046025106E-3</v>
      </c>
      <c r="E350" s="4">
        <f t="shared" si="11"/>
        <v>1.0460251046025106E-3</v>
      </c>
      <c r="F350" s="4">
        <f t="shared" si="11"/>
        <v>1.0460251046025106E-3</v>
      </c>
      <c r="G350" s="4">
        <f t="shared" si="11"/>
        <v>1.0460251046025106E-3</v>
      </c>
      <c r="H350" s="4">
        <f t="shared" si="11"/>
        <v>1.0460251046025106E-3</v>
      </c>
      <c r="I350" s="4">
        <f t="shared" si="11"/>
        <v>1.0460251046025106E-3</v>
      </c>
      <c r="J350" s="4">
        <f t="shared" si="11"/>
        <v>1.0460251046025106E-3</v>
      </c>
      <c r="K350" s="4">
        <f t="shared" si="11"/>
        <v>1.0460251046025106E-3</v>
      </c>
      <c r="L350" s="4">
        <f t="shared" si="11"/>
        <v>1.0460251046025106E-3</v>
      </c>
      <c r="M350" s="4">
        <f t="shared" si="11"/>
        <v>1.0460251046025106E-3</v>
      </c>
      <c r="N350" t="s">
        <v>333</v>
      </c>
      <c r="O350" t="s">
        <v>712</v>
      </c>
      <c r="P350" t="s">
        <v>713</v>
      </c>
      <c r="Q350" t="s">
        <v>245</v>
      </c>
    </row>
    <row r="351" spans="1:17" x14ac:dyDescent="0.25">
      <c r="A351" t="s">
        <v>707</v>
      </c>
      <c r="B351" t="s">
        <v>88</v>
      </c>
      <c r="C351" s="4">
        <f t="shared" si="11"/>
        <v>1.0460251046025106E-3</v>
      </c>
      <c r="D351" s="4">
        <f t="shared" si="11"/>
        <v>1.0460251046025106E-3</v>
      </c>
      <c r="E351" s="4">
        <f t="shared" si="11"/>
        <v>1.0460251046025106E-3</v>
      </c>
      <c r="F351" s="4">
        <f t="shared" si="11"/>
        <v>1.0460251046025106E-3</v>
      </c>
      <c r="G351" s="4">
        <f t="shared" si="11"/>
        <v>1.0460251046025106E-3</v>
      </c>
      <c r="H351" s="4">
        <f t="shared" si="11"/>
        <v>1.0460251046025106E-3</v>
      </c>
      <c r="I351" s="4">
        <f t="shared" si="11"/>
        <v>1.0460251046025106E-3</v>
      </c>
      <c r="J351" s="4">
        <f t="shared" si="11"/>
        <v>1.0460251046025106E-3</v>
      </c>
      <c r="K351" s="4">
        <f t="shared" si="11"/>
        <v>1.0460251046025106E-3</v>
      </c>
      <c r="L351" s="4">
        <f t="shared" si="11"/>
        <v>1.0460251046025106E-3</v>
      </c>
      <c r="M351" s="4">
        <f t="shared" si="11"/>
        <v>1.0460251046025106E-3</v>
      </c>
      <c r="N351" t="s">
        <v>242</v>
      </c>
      <c r="O351" t="s">
        <v>706</v>
      </c>
      <c r="P351" t="s">
        <v>707</v>
      </c>
      <c r="Q351" t="s">
        <v>245</v>
      </c>
    </row>
    <row r="352" spans="1:17" x14ac:dyDescent="0.25">
      <c r="A352" t="s">
        <v>713</v>
      </c>
      <c r="B352" t="s">
        <v>674</v>
      </c>
      <c r="C352" s="4">
        <f t="shared" si="11"/>
        <v>1.0460251046025106E-3</v>
      </c>
      <c r="D352" s="4">
        <f t="shared" si="11"/>
        <v>1.0460251046025106E-3</v>
      </c>
      <c r="E352" s="4">
        <f t="shared" si="11"/>
        <v>1.0460251046025106E-3</v>
      </c>
      <c r="F352" s="4">
        <f t="shared" si="11"/>
        <v>1.0460251046025106E-3</v>
      </c>
      <c r="G352" s="4">
        <f t="shared" si="11"/>
        <v>1.0460251046025106E-3</v>
      </c>
      <c r="H352" s="4">
        <f t="shared" si="11"/>
        <v>1.0460251046025106E-3</v>
      </c>
      <c r="I352" s="4">
        <f t="shared" si="11"/>
        <v>1.0460251046025106E-3</v>
      </c>
      <c r="J352" s="4">
        <f t="shared" si="11"/>
        <v>1.0460251046025106E-3</v>
      </c>
      <c r="K352" s="4">
        <f t="shared" si="11"/>
        <v>1.0460251046025106E-3</v>
      </c>
      <c r="L352" s="4">
        <f t="shared" si="11"/>
        <v>1.0460251046025106E-3</v>
      </c>
      <c r="M352" s="4">
        <f t="shared" si="11"/>
        <v>1.0460251046025106E-3</v>
      </c>
      <c r="N352" t="s">
        <v>333</v>
      </c>
      <c r="O352" t="s">
        <v>712</v>
      </c>
      <c r="P352" t="s">
        <v>713</v>
      </c>
      <c r="Q352" t="s">
        <v>245</v>
      </c>
    </row>
    <row r="353" spans="1:17" x14ac:dyDescent="0.25">
      <c r="A353" t="s">
        <v>707</v>
      </c>
      <c r="B353" t="s">
        <v>674</v>
      </c>
      <c r="C353" s="4">
        <f t="shared" si="11"/>
        <v>1.0460251046025106E-3</v>
      </c>
      <c r="D353" s="4">
        <f t="shared" si="11"/>
        <v>1.0460251046025106E-3</v>
      </c>
      <c r="E353" s="4">
        <f t="shared" si="11"/>
        <v>1.0460251046025106E-3</v>
      </c>
      <c r="F353" s="4">
        <f t="shared" si="11"/>
        <v>1.0460251046025106E-3</v>
      </c>
      <c r="G353" s="4">
        <f t="shared" si="11"/>
        <v>1.0460251046025106E-3</v>
      </c>
      <c r="H353" s="4">
        <f t="shared" si="11"/>
        <v>1.0460251046025106E-3</v>
      </c>
      <c r="I353" s="4">
        <f t="shared" si="11"/>
        <v>1.0460251046025106E-3</v>
      </c>
      <c r="J353" s="4">
        <f t="shared" si="11"/>
        <v>1.0460251046025106E-3</v>
      </c>
      <c r="K353" s="4">
        <f t="shared" si="11"/>
        <v>1.0460251046025106E-3</v>
      </c>
      <c r="L353" s="4">
        <f t="shared" si="11"/>
        <v>1.0460251046025106E-3</v>
      </c>
      <c r="M353" s="4">
        <f t="shared" si="11"/>
        <v>1.0460251046025106E-3</v>
      </c>
      <c r="N353" t="s">
        <v>242</v>
      </c>
      <c r="O353" t="s">
        <v>706</v>
      </c>
      <c r="P353" t="s">
        <v>707</v>
      </c>
      <c r="Q353" t="s">
        <v>245</v>
      </c>
    </row>
    <row r="354" spans="1:17" x14ac:dyDescent="0.25">
      <c r="A354" t="s">
        <v>710</v>
      </c>
      <c r="B354" t="s">
        <v>112</v>
      </c>
      <c r="C354" s="4">
        <f t="shared" ref="C354:M355" si="12">44.8%/0.956</f>
        <v>0.46861924686192463</v>
      </c>
      <c r="D354" s="4">
        <f t="shared" si="12"/>
        <v>0.46861924686192463</v>
      </c>
      <c r="E354" s="4">
        <f t="shared" si="12"/>
        <v>0.46861924686192463</v>
      </c>
      <c r="F354" s="4">
        <f t="shared" si="12"/>
        <v>0.46861924686192463</v>
      </c>
      <c r="G354" s="4">
        <f t="shared" si="12"/>
        <v>0.46861924686192463</v>
      </c>
      <c r="H354" s="4">
        <f t="shared" si="12"/>
        <v>0.46861924686192463</v>
      </c>
      <c r="I354" s="4">
        <f t="shared" si="12"/>
        <v>0.46861924686192463</v>
      </c>
      <c r="J354" s="4">
        <f t="shared" si="12"/>
        <v>0.46861924686192463</v>
      </c>
      <c r="K354" s="4">
        <f t="shared" si="12"/>
        <v>0.46861924686192463</v>
      </c>
      <c r="L354" s="4">
        <f t="shared" si="12"/>
        <v>0.46861924686192463</v>
      </c>
      <c r="M354" s="4">
        <f t="shared" si="12"/>
        <v>0.46861924686192463</v>
      </c>
      <c r="N354" t="s">
        <v>242</v>
      </c>
      <c r="O354" t="s">
        <v>711</v>
      </c>
      <c r="P354" t="s">
        <v>710</v>
      </c>
      <c r="Q354" t="s">
        <v>245</v>
      </c>
    </row>
    <row r="355" spans="1:17" x14ac:dyDescent="0.25">
      <c r="A355" t="s">
        <v>709</v>
      </c>
      <c r="B355" t="s">
        <v>112</v>
      </c>
      <c r="C355" s="4">
        <f t="shared" si="12"/>
        <v>0.46861924686192463</v>
      </c>
      <c r="D355" s="4">
        <f t="shared" si="12"/>
        <v>0.46861924686192463</v>
      </c>
      <c r="E355" s="4">
        <f t="shared" si="12"/>
        <v>0.46861924686192463</v>
      </c>
      <c r="F355" s="4">
        <f t="shared" si="12"/>
        <v>0.46861924686192463</v>
      </c>
      <c r="G355" s="4">
        <f t="shared" si="12"/>
        <v>0.46861924686192463</v>
      </c>
      <c r="H355" s="4">
        <f t="shared" si="12"/>
        <v>0.46861924686192463</v>
      </c>
      <c r="I355" s="4">
        <f t="shared" si="12"/>
        <v>0.46861924686192463</v>
      </c>
      <c r="J355" s="4">
        <f t="shared" si="12"/>
        <v>0.46861924686192463</v>
      </c>
      <c r="K355" s="4">
        <f t="shared" si="12"/>
        <v>0.46861924686192463</v>
      </c>
      <c r="L355" s="4">
        <f t="shared" si="12"/>
        <v>0.46861924686192463</v>
      </c>
      <c r="M355" s="4">
        <f t="shared" si="12"/>
        <v>0.46861924686192463</v>
      </c>
      <c r="N355" t="s">
        <v>242</v>
      </c>
      <c r="O355" t="s">
        <v>708</v>
      </c>
      <c r="P355" t="s">
        <v>709</v>
      </c>
      <c r="Q355" t="s">
        <v>245</v>
      </c>
    </row>
    <row r="356" spans="1:17" x14ac:dyDescent="0.25">
      <c r="A356" t="s">
        <v>710</v>
      </c>
      <c r="B356" t="s">
        <v>113</v>
      </c>
      <c r="C356" s="4">
        <f t="shared" ref="C356:M357" si="13">23.4%/0.956</f>
        <v>0.24476987447698745</v>
      </c>
      <c r="D356" s="4">
        <f t="shared" si="13"/>
        <v>0.24476987447698745</v>
      </c>
      <c r="E356" s="4">
        <f t="shared" si="13"/>
        <v>0.24476987447698745</v>
      </c>
      <c r="F356" s="4">
        <f t="shared" si="13"/>
        <v>0.24476987447698745</v>
      </c>
      <c r="G356" s="4">
        <f t="shared" si="13"/>
        <v>0.24476987447698745</v>
      </c>
      <c r="H356" s="4">
        <f t="shared" si="13"/>
        <v>0.24476987447698745</v>
      </c>
      <c r="I356" s="4">
        <f t="shared" si="13"/>
        <v>0.24476987447698745</v>
      </c>
      <c r="J356" s="4">
        <f t="shared" si="13"/>
        <v>0.24476987447698745</v>
      </c>
      <c r="K356" s="4">
        <f t="shared" si="13"/>
        <v>0.24476987447698745</v>
      </c>
      <c r="L356" s="4">
        <f t="shared" si="13"/>
        <v>0.24476987447698745</v>
      </c>
      <c r="M356" s="4">
        <f t="shared" si="13"/>
        <v>0.24476987447698745</v>
      </c>
      <c r="N356" t="s">
        <v>242</v>
      </c>
      <c r="O356" t="s">
        <v>711</v>
      </c>
      <c r="P356" t="s">
        <v>710</v>
      </c>
      <c r="Q356" t="s">
        <v>245</v>
      </c>
    </row>
    <row r="357" spans="1:17" x14ac:dyDescent="0.25">
      <c r="A357" t="s">
        <v>709</v>
      </c>
      <c r="B357" t="s">
        <v>113</v>
      </c>
      <c r="C357" s="4">
        <f t="shared" si="13"/>
        <v>0.24476987447698745</v>
      </c>
      <c r="D357" s="4">
        <f t="shared" si="13"/>
        <v>0.24476987447698745</v>
      </c>
      <c r="E357" s="4">
        <f t="shared" si="13"/>
        <v>0.24476987447698745</v>
      </c>
      <c r="F357" s="4">
        <f t="shared" si="13"/>
        <v>0.24476987447698745</v>
      </c>
      <c r="G357" s="4">
        <f t="shared" si="13"/>
        <v>0.24476987447698745</v>
      </c>
      <c r="H357" s="4">
        <f t="shared" si="13"/>
        <v>0.24476987447698745</v>
      </c>
      <c r="I357" s="4">
        <f t="shared" si="13"/>
        <v>0.24476987447698745</v>
      </c>
      <c r="J357" s="4">
        <f t="shared" si="13"/>
        <v>0.24476987447698745</v>
      </c>
      <c r="K357" s="4">
        <f t="shared" si="13"/>
        <v>0.24476987447698745</v>
      </c>
      <c r="L357" s="4">
        <f t="shared" si="13"/>
        <v>0.24476987447698745</v>
      </c>
      <c r="M357" s="4">
        <f t="shared" si="13"/>
        <v>0.24476987447698745</v>
      </c>
      <c r="N357" t="s">
        <v>242</v>
      </c>
      <c r="O357" t="s">
        <v>708</v>
      </c>
      <c r="P357" t="s">
        <v>709</v>
      </c>
      <c r="Q357" t="s">
        <v>245</v>
      </c>
    </row>
    <row r="358" spans="1:17" x14ac:dyDescent="0.25">
      <c r="A358" t="s">
        <v>710</v>
      </c>
      <c r="B358" t="s">
        <v>145</v>
      </c>
      <c r="C358" s="4">
        <f t="shared" ref="C358:M359" si="14">10%/0.956</f>
        <v>0.10460251046025106</v>
      </c>
      <c r="D358" s="4">
        <f t="shared" si="14"/>
        <v>0.10460251046025106</v>
      </c>
      <c r="E358" s="4">
        <f t="shared" si="14"/>
        <v>0.10460251046025106</v>
      </c>
      <c r="F358" s="4">
        <f t="shared" si="14"/>
        <v>0.10460251046025106</v>
      </c>
      <c r="G358" s="4">
        <f t="shared" si="14"/>
        <v>0.10460251046025106</v>
      </c>
      <c r="H358" s="4">
        <f t="shared" si="14"/>
        <v>0.10460251046025106</v>
      </c>
      <c r="I358" s="4">
        <f t="shared" si="14"/>
        <v>0.10460251046025106</v>
      </c>
      <c r="J358" s="4">
        <f t="shared" si="14"/>
        <v>0.10460251046025106</v>
      </c>
      <c r="K358" s="4">
        <f t="shared" si="14"/>
        <v>0.10460251046025106</v>
      </c>
      <c r="L358" s="4">
        <f t="shared" si="14"/>
        <v>0.10460251046025106</v>
      </c>
      <c r="M358" s="4">
        <f t="shared" si="14"/>
        <v>0.10460251046025106</v>
      </c>
      <c r="N358" t="s">
        <v>242</v>
      </c>
      <c r="O358" t="s">
        <v>711</v>
      </c>
      <c r="P358" t="s">
        <v>710</v>
      </c>
      <c r="Q358" t="s">
        <v>245</v>
      </c>
    </row>
    <row r="359" spans="1:17" x14ac:dyDescent="0.25">
      <c r="A359" t="s">
        <v>709</v>
      </c>
      <c r="B359" t="s">
        <v>145</v>
      </c>
      <c r="C359" s="4">
        <f t="shared" si="14"/>
        <v>0.10460251046025106</v>
      </c>
      <c r="D359" s="4">
        <f t="shared" si="14"/>
        <v>0.10460251046025106</v>
      </c>
      <c r="E359" s="4">
        <f t="shared" si="14"/>
        <v>0.10460251046025106</v>
      </c>
      <c r="F359" s="4">
        <f t="shared" si="14"/>
        <v>0.10460251046025106</v>
      </c>
      <c r="G359" s="4">
        <f t="shared" si="14"/>
        <v>0.10460251046025106</v>
      </c>
      <c r="H359" s="4">
        <f t="shared" si="14"/>
        <v>0.10460251046025106</v>
      </c>
      <c r="I359" s="4">
        <f t="shared" si="14"/>
        <v>0.10460251046025106</v>
      </c>
      <c r="J359" s="4">
        <f t="shared" si="14"/>
        <v>0.10460251046025106</v>
      </c>
      <c r="K359" s="4">
        <f t="shared" si="14"/>
        <v>0.10460251046025106</v>
      </c>
      <c r="L359" s="4">
        <f t="shared" si="14"/>
        <v>0.10460251046025106</v>
      </c>
      <c r="M359" s="4">
        <f t="shared" si="14"/>
        <v>0.10460251046025106</v>
      </c>
      <c r="N359" t="s">
        <v>242</v>
      </c>
      <c r="O359" t="s">
        <v>708</v>
      </c>
      <c r="P359" t="s">
        <v>709</v>
      </c>
      <c r="Q359" t="s">
        <v>245</v>
      </c>
    </row>
    <row r="360" spans="1:17" x14ac:dyDescent="0.25">
      <c r="A360" t="s">
        <v>710</v>
      </c>
      <c r="B360" t="s">
        <v>144</v>
      </c>
      <c r="C360" s="4">
        <f t="shared" ref="C360:M361" si="15">4.9%/0.956</f>
        <v>5.1255230125523014E-2</v>
      </c>
      <c r="D360" s="4">
        <f t="shared" si="15"/>
        <v>5.1255230125523014E-2</v>
      </c>
      <c r="E360" s="4">
        <f t="shared" si="15"/>
        <v>5.1255230125523014E-2</v>
      </c>
      <c r="F360" s="4">
        <f t="shared" si="15"/>
        <v>5.1255230125523014E-2</v>
      </c>
      <c r="G360" s="4">
        <f t="shared" si="15"/>
        <v>5.1255230125523014E-2</v>
      </c>
      <c r="H360" s="4">
        <f t="shared" si="15"/>
        <v>5.1255230125523014E-2</v>
      </c>
      <c r="I360" s="4">
        <f t="shared" si="15"/>
        <v>5.1255230125523014E-2</v>
      </c>
      <c r="J360" s="4">
        <f t="shared" si="15"/>
        <v>5.1255230125523014E-2</v>
      </c>
      <c r="K360" s="4">
        <f t="shared" si="15"/>
        <v>5.1255230125523014E-2</v>
      </c>
      <c r="L360" s="4">
        <f t="shared" si="15"/>
        <v>5.1255230125523014E-2</v>
      </c>
      <c r="M360" s="4">
        <f t="shared" si="15"/>
        <v>5.1255230125523014E-2</v>
      </c>
      <c r="N360" t="s">
        <v>242</v>
      </c>
      <c r="O360" t="s">
        <v>711</v>
      </c>
      <c r="P360" t="s">
        <v>710</v>
      </c>
      <c r="Q360" t="s">
        <v>245</v>
      </c>
    </row>
    <row r="361" spans="1:17" x14ac:dyDescent="0.25">
      <c r="A361" t="s">
        <v>709</v>
      </c>
      <c r="B361" t="s">
        <v>144</v>
      </c>
      <c r="C361" s="4">
        <f t="shared" si="15"/>
        <v>5.1255230125523014E-2</v>
      </c>
      <c r="D361" s="4">
        <f t="shared" si="15"/>
        <v>5.1255230125523014E-2</v>
      </c>
      <c r="E361" s="4">
        <f t="shared" si="15"/>
        <v>5.1255230125523014E-2</v>
      </c>
      <c r="F361" s="4">
        <f t="shared" si="15"/>
        <v>5.1255230125523014E-2</v>
      </c>
      <c r="G361" s="4">
        <f t="shared" si="15"/>
        <v>5.1255230125523014E-2</v>
      </c>
      <c r="H361" s="4">
        <f t="shared" si="15"/>
        <v>5.1255230125523014E-2</v>
      </c>
      <c r="I361" s="4">
        <f t="shared" si="15"/>
        <v>5.1255230125523014E-2</v>
      </c>
      <c r="J361" s="4">
        <f t="shared" si="15"/>
        <v>5.1255230125523014E-2</v>
      </c>
      <c r="K361" s="4">
        <f t="shared" si="15"/>
        <v>5.1255230125523014E-2</v>
      </c>
      <c r="L361" s="4">
        <f t="shared" si="15"/>
        <v>5.1255230125523014E-2</v>
      </c>
      <c r="M361" s="4">
        <f t="shared" si="15"/>
        <v>5.1255230125523014E-2</v>
      </c>
      <c r="N361" t="s">
        <v>242</v>
      </c>
      <c r="O361" t="s">
        <v>708</v>
      </c>
      <c r="P361" t="s">
        <v>709</v>
      </c>
      <c r="Q361" t="s">
        <v>245</v>
      </c>
    </row>
    <row r="362" spans="1:17" x14ac:dyDescent="0.25">
      <c r="A362" t="s">
        <v>710</v>
      </c>
      <c r="B362" t="s">
        <v>86</v>
      </c>
      <c r="C362" s="4">
        <f t="shared" ref="C362:M363" si="16">3.3%/0.956</f>
        <v>3.4518828451882845E-2</v>
      </c>
      <c r="D362" s="4">
        <f t="shared" si="16"/>
        <v>3.4518828451882845E-2</v>
      </c>
      <c r="E362" s="4">
        <f t="shared" si="16"/>
        <v>3.4518828451882845E-2</v>
      </c>
      <c r="F362" s="4">
        <f t="shared" si="16"/>
        <v>3.4518828451882845E-2</v>
      </c>
      <c r="G362" s="4">
        <f t="shared" si="16"/>
        <v>3.4518828451882845E-2</v>
      </c>
      <c r="H362" s="4">
        <f t="shared" si="16"/>
        <v>3.4518828451882845E-2</v>
      </c>
      <c r="I362" s="4">
        <f t="shared" si="16"/>
        <v>3.4518828451882845E-2</v>
      </c>
      <c r="J362" s="4">
        <f t="shared" si="16"/>
        <v>3.4518828451882845E-2</v>
      </c>
      <c r="K362" s="4">
        <f t="shared" si="16"/>
        <v>3.4518828451882845E-2</v>
      </c>
      <c r="L362" s="4">
        <f t="shared" si="16"/>
        <v>3.4518828451882845E-2</v>
      </c>
      <c r="M362" s="4">
        <f t="shared" si="16"/>
        <v>3.4518828451882845E-2</v>
      </c>
      <c r="N362" t="s">
        <v>242</v>
      </c>
      <c r="O362" t="s">
        <v>711</v>
      </c>
      <c r="P362" t="s">
        <v>710</v>
      </c>
      <c r="Q362" t="s">
        <v>245</v>
      </c>
    </row>
    <row r="363" spans="1:17" x14ac:dyDescent="0.25">
      <c r="A363" t="s">
        <v>709</v>
      </c>
      <c r="B363" t="s">
        <v>86</v>
      </c>
      <c r="C363" s="4">
        <f t="shared" si="16"/>
        <v>3.4518828451882845E-2</v>
      </c>
      <c r="D363" s="4">
        <f t="shared" si="16"/>
        <v>3.4518828451882845E-2</v>
      </c>
      <c r="E363" s="4">
        <f t="shared" si="16"/>
        <v>3.4518828451882845E-2</v>
      </c>
      <c r="F363" s="4">
        <f t="shared" si="16"/>
        <v>3.4518828451882845E-2</v>
      </c>
      <c r="G363" s="4">
        <f t="shared" si="16"/>
        <v>3.4518828451882845E-2</v>
      </c>
      <c r="H363" s="4">
        <f t="shared" si="16"/>
        <v>3.4518828451882845E-2</v>
      </c>
      <c r="I363" s="4">
        <f t="shared" si="16"/>
        <v>3.4518828451882845E-2</v>
      </c>
      <c r="J363" s="4">
        <f t="shared" si="16"/>
        <v>3.4518828451882845E-2</v>
      </c>
      <c r="K363" s="4">
        <f t="shared" si="16"/>
        <v>3.4518828451882845E-2</v>
      </c>
      <c r="L363" s="4">
        <f t="shared" si="16"/>
        <v>3.4518828451882845E-2</v>
      </c>
      <c r="M363" s="4">
        <f t="shared" si="16"/>
        <v>3.4518828451882845E-2</v>
      </c>
      <c r="N363" t="s">
        <v>242</v>
      </c>
      <c r="O363" t="s">
        <v>708</v>
      </c>
      <c r="P363" t="s">
        <v>709</v>
      </c>
      <c r="Q363" t="s">
        <v>245</v>
      </c>
    </row>
    <row r="364" spans="1:17" x14ac:dyDescent="0.25">
      <c r="A364" t="s">
        <v>710</v>
      </c>
      <c r="B364" t="s">
        <v>124</v>
      </c>
      <c r="C364" s="4">
        <f t="shared" ref="C364:M365" si="17">3%/0.956</f>
        <v>3.1380753138075312E-2</v>
      </c>
      <c r="D364" s="4">
        <f t="shared" si="17"/>
        <v>3.1380753138075312E-2</v>
      </c>
      <c r="E364" s="4">
        <f t="shared" si="17"/>
        <v>3.1380753138075312E-2</v>
      </c>
      <c r="F364" s="4">
        <f t="shared" si="17"/>
        <v>3.1380753138075312E-2</v>
      </c>
      <c r="G364" s="4">
        <f t="shared" si="17"/>
        <v>3.1380753138075312E-2</v>
      </c>
      <c r="H364" s="4">
        <f t="shared" si="17"/>
        <v>3.1380753138075312E-2</v>
      </c>
      <c r="I364" s="4">
        <f t="shared" si="17"/>
        <v>3.1380753138075312E-2</v>
      </c>
      <c r="J364" s="4">
        <f t="shared" si="17"/>
        <v>3.1380753138075312E-2</v>
      </c>
      <c r="K364" s="4">
        <f t="shared" si="17"/>
        <v>3.1380753138075312E-2</v>
      </c>
      <c r="L364" s="4">
        <f t="shared" si="17"/>
        <v>3.1380753138075312E-2</v>
      </c>
      <c r="M364" s="4">
        <f t="shared" si="17"/>
        <v>3.1380753138075312E-2</v>
      </c>
      <c r="N364" t="s">
        <v>242</v>
      </c>
      <c r="O364" t="s">
        <v>711</v>
      </c>
      <c r="P364" t="s">
        <v>710</v>
      </c>
      <c r="Q364" t="s">
        <v>245</v>
      </c>
    </row>
    <row r="365" spans="1:17" x14ac:dyDescent="0.25">
      <c r="A365" t="s">
        <v>709</v>
      </c>
      <c r="B365" t="s">
        <v>124</v>
      </c>
      <c r="C365" s="4">
        <f t="shared" si="17"/>
        <v>3.1380753138075312E-2</v>
      </c>
      <c r="D365" s="4">
        <f t="shared" si="17"/>
        <v>3.1380753138075312E-2</v>
      </c>
      <c r="E365" s="4">
        <f t="shared" si="17"/>
        <v>3.1380753138075312E-2</v>
      </c>
      <c r="F365" s="4">
        <f t="shared" si="17"/>
        <v>3.1380753138075312E-2</v>
      </c>
      <c r="G365" s="4">
        <f t="shared" si="17"/>
        <v>3.1380753138075312E-2</v>
      </c>
      <c r="H365" s="4">
        <f t="shared" si="17"/>
        <v>3.1380753138075312E-2</v>
      </c>
      <c r="I365" s="4">
        <f t="shared" si="17"/>
        <v>3.1380753138075312E-2</v>
      </c>
      <c r="J365" s="4">
        <f t="shared" si="17"/>
        <v>3.1380753138075312E-2</v>
      </c>
      <c r="K365" s="4">
        <f t="shared" si="17"/>
        <v>3.1380753138075312E-2</v>
      </c>
      <c r="L365" s="4">
        <f t="shared" si="17"/>
        <v>3.1380753138075312E-2</v>
      </c>
      <c r="M365" s="4">
        <f t="shared" si="17"/>
        <v>3.1380753138075312E-2</v>
      </c>
      <c r="N365" t="s">
        <v>242</v>
      </c>
      <c r="O365" t="s">
        <v>708</v>
      </c>
      <c r="P365" t="s">
        <v>709</v>
      </c>
      <c r="Q365" t="s">
        <v>245</v>
      </c>
    </row>
    <row r="366" spans="1:17" x14ac:dyDescent="0.25">
      <c r="A366" t="s">
        <v>710</v>
      </c>
      <c r="B366" t="s">
        <v>107</v>
      </c>
      <c r="C366" s="4">
        <f t="shared" ref="C366:M367" si="18">1.9%/0.956</f>
        <v>1.9874476987447699E-2</v>
      </c>
      <c r="D366" s="4">
        <f t="shared" si="18"/>
        <v>1.9874476987447699E-2</v>
      </c>
      <c r="E366" s="4">
        <f t="shared" si="18"/>
        <v>1.9874476987447699E-2</v>
      </c>
      <c r="F366" s="4">
        <f t="shared" si="18"/>
        <v>1.9874476987447699E-2</v>
      </c>
      <c r="G366" s="4">
        <f t="shared" si="18"/>
        <v>1.9874476987447699E-2</v>
      </c>
      <c r="H366" s="4">
        <f t="shared" si="18"/>
        <v>1.9874476987447699E-2</v>
      </c>
      <c r="I366" s="4">
        <f t="shared" si="18"/>
        <v>1.9874476987447699E-2</v>
      </c>
      <c r="J366" s="4">
        <f t="shared" si="18"/>
        <v>1.9874476987447699E-2</v>
      </c>
      <c r="K366" s="4">
        <f t="shared" si="18"/>
        <v>1.9874476987447699E-2</v>
      </c>
      <c r="L366" s="4">
        <f t="shared" si="18"/>
        <v>1.9874476987447699E-2</v>
      </c>
      <c r="M366" s="4">
        <f t="shared" si="18"/>
        <v>1.9874476987447699E-2</v>
      </c>
      <c r="N366" t="s">
        <v>242</v>
      </c>
      <c r="O366" t="s">
        <v>711</v>
      </c>
      <c r="P366" t="s">
        <v>710</v>
      </c>
      <c r="Q366" t="s">
        <v>245</v>
      </c>
    </row>
    <row r="367" spans="1:17" x14ac:dyDescent="0.25">
      <c r="A367" t="s">
        <v>709</v>
      </c>
      <c r="B367" t="s">
        <v>107</v>
      </c>
      <c r="C367" s="4">
        <f t="shared" si="18"/>
        <v>1.9874476987447699E-2</v>
      </c>
      <c r="D367" s="4">
        <f t="shared" si="18"/>
        <v>1.9874476987447699E-2</v>
      </c>
      <c r="E367" s="4">
        <f t="shared" si="18"/>
        <v>1.9874476987447699E-2</v>
      </c>
      <c r="F367" s="4">
        <f t="shared" si="18"/>
        <v>1.9874476987447699E-2</v>
      </c>
      <c r="G367" s="4">
        <f t="shared" si="18"/>
        <v>1.9874476987447699E-2</v>
      </c>
      <c r="H367" s="4">
        <f t="shared" si="18"/>
        <v>1.9874476987447699E-2</v>
      </c>
      <c r="I367" s="4">
        <f t="shared" si="18"/>
        <v>1.9874476987447699E-2</v>
      </c>
      <c r="J367" s="4">
        <f t="shared" si="18"/>
        <v>1.9874476987447699E-2</v>
      </c>
      <c r="K367" s="4">
        <f t="shared" si="18"/>
        <v>1.9874476987447699E-2</v>
      </c>
      <c r="L367" s="4">
        <f t="shared" si="18"/>
        <v>1.9874476987447699E-2</v>
      </c>
      <c r="M367" s="4">
        <f t="shared" si="18"/>
        <v>1.9874476987447699E-2</v>
      </c>
      <c r="N367" t="s">
        <v>242</v>
      </c>
      <c r="O367" t="s">
        <v>708</v>
      </c>
      <c r="P367" t="s">
        <v>709</v>
      </c>
      <c r="Q367" t="s">
        <v>245</v>
      </c>
    </row>
    <row r="368" spans="1:17" x14ac:dyDescent="0.25">
      <c r="A368" t="s">
        <v>710</v>
      </c>
      <c r="B368" t="s">
        <v>117</v>
      </c>
      <c r="C368" s="4">
        <f t="shared" ref="C368:M369" si="19">1.7%/0.956</f>
        <v>1.7782426778242679E-2</v>
      </c>
      <c r="D368" s="4">
        <f t="shared" si="19"/>
        <v>1.7782426778242679E-2</v>
      </c>
      <c r="E368" s="4">
        <f t="shared" si="19"/>
        <v>1.7782426778242679E-2</v>
      </c>
      <c r="F368" s="4">
        <f t="shared" si="19"/>
        <v>1.7782426778242679E-2</v>
      </c>
      <c r="G368" s="4">
        <f t="shared" si="19"/>
        <v>1.7782426778242679E-2</v>
      </c>
      <c r="H368" s="4">
        <f t="shared" si="19"/>
        <v>1.7782426778242679E-2</v>
      </c>
      <c r="I368" s="4">
        <f t="shared" si="19"/>
        <v>1.7782426778242679E-2</v>
      </c>
      <c r="J368" s="4">
        <f t="shared" si="19"/>
        <v>1.7782426778242679E-2</v>
      </c>
      <c r="K368" s="4">
        <f t="shared" si="19"/>
        <v>1.7782426778242679E-2</v>
      </c>
      <c r="L368" s="4">
        <f t="shared" si="19"/>
        <v>1.7782426778242679E-2</v>
      </c>
      <c r="M368" s="4">
        <f t="shared" si="19"/>
        <v>1.7782426778242679E-2</v>
      </c>
      <c r="N368" t="s">
        <v>242</v>
      </c>
      <c r="O368" t="s">
        <v>711</v>
      </c>
      <c r="P368" t="s">
        <v>710</v>
      </c>
      <c r="Q368" t="s">
        <v>245</v>
      </c>
    </row>
    <row r="369" spans="1:17" x14ac:dyDescent="0.25">
      <c r="A369" t="s">
        <v>709</v>
      </c>
      <c r="B369" t="s">
        <v>117</v>
      </c>
      <c r="C369" s="4">
        <f t="shared" si="19"/>
        <v>1.7782426778242679E-2</v>
      </c>
      <c r="D369" s="4">
        <f t="shared" si="19"/>
        <v>1.7782426778242679E-2</v>
      </c>
      <c r="E369" s="4">
        <f t="shared" si="19"/>
        <v>1.7782426778242679E-2</v>
      </c>
      <c r="F369" s="4">
        <f t="shared" si="19"/>
        <v>1.7782426778242679E-2</v>
      </c>
      <c r="G369" s="4">
        <f t="shared" si="19"/>
        <v>1.7782426778242679E-2</v>
      </c>
      <c r="H369" s="4">
        <f t="shared" si="19"/>
        <v>1.7782426778242679E-2</v>
      </c>
      <c r="I369" s="4">
        <f t="shared" si="19"/>
        <v>1.7782426778242679E-2</v>
      </c>
      <c r="J369" s="4">
        <f t="shared" si="19"/>
        <v>1.7782426778242679E-2</v>
      </c>
      <c r="K369" s="4">
        <f t="shared" si="19"/>
        <v>1.7782426778242679E-2</v>
      </c>
      <c r="L369" s="4">
        <f t="shared" si="19"/>
        <v>1.7782426778242679E-2</v>
      </c>
      <c r="M369" s="4">
        <f t="shared" si="19"/>
        <v>1.7782426778242679E-2</v>
      </c>
      <c r="N369" t="s">
        <v>242</v>
      </c>
      <c r="O369" t="s">
        <v>708</v>
      </c>
      <c r="P369" t="s">
        <v>709</v>
      </c>
      <c r="Q369" t="s">
        <v>245</v>
      </c>
    </row>
    <row r="370" spans="1:17" x14ac:dyDescent="0.25">
      <c r="A370" t="s">
        <v>710</v>
      </c>
      <c r="B370" t="s">
        <v>146</v>
      </c>
      <c r="C370" s="4">
        <f t="shared" ref="C370:M371" si="20">1.3%/0.956</f>
        <v>1.3598326359832639E-2</v>
      </c>
      <c r="D370" s="4">
        <f t="shared" si="20"/>
        <v>1.3598326359832639E-2</v>
      </c>
      <c r="E370" s="4">
        <f t="shared" si="20"/>
        <v>1.3598326359832639E-2</v>
      </c>
      <c r="F370" s="4">
        <f t="shared" si="20"/>
        <v>1.3598326359832639E-2</v>
      </c>
      <c r="G370" s="4">
        <f t="shared" si="20"/>
        <v>1.3598326359832639E-2</v>
      </c>
      <c r="H370" s="4">
        <f t="shared" si="20"/>
        <v>1.3598326359832639E-2</v>
      </c>
      <c r="I370" s="4">
        <f t="shared" si="20"/>
        <v>1.3598326359832639E-2</v>
      </c>
      <c r="J370" s="4">
        <f t="shared" si="20"/>
        <v>1.3598326359832639E-2</v>
      </c>
      <c r="K370" s="4">
        <f t="shared" si="20"/>
        <v>1.3598326359832639E-2</v>
      </c>
      <c r="L370" s="4">
        <f t="shared" si="20"/>
        <v>1.3598326359832639E-2</v>
      </c>
      <c r="M370" s="4">
        <f t="shared" si="20"/>
        <v>1.3598326359832639E-2</v>
      </c>
      <c r="N370" t="s">
        <v>242</v>
      </c>
      <c r="O370" t="s">
        <v>711</v>
      </c>
      <c r="P370" t="s">
        <v>710</v>
      </c>
      <c r="Q370" t="s">
        <v>245</v>
      </c>
    </row>
    <row r="371" spans="1:17" x14ac:dyDescent="0.25">
      <c r="A371" t="s">
        <v>709</v>
      </c>
      <c r="B371" t="s">
        <v>146</v>
      </c>
      <c r="C371" s="4">
        <f t="shared" si="20"/>
        <v>1.3598326359832639E-2</v>
      </c>
      <c r="D371" s="4">
        <f t="shared" si="20"/>
        <v>1.3598326359832639E-2</v>
      </c>
      <c r="E371" s="4">
        <f t="shared" si="20"/>
        <v>1.3598326359832639E-2</v>
      </c>
      <c r="F371" s="4">
        <f t="shared" si="20"/>
        <v>1.3598326359832639E-2</v>
      </c>
      <c r="G371" s="4">
        <f t="shared" si="20"/>
        <v>1.3598326359832639E-2</v>
      </c>
      <c r="H371" s="4">
        <f t="shared" si="20"/>
        <v>1.3598326359832639E-2</v>
      </c>
      <c r="I371" s="4">
        <f t="shared" si="20"/>
        <v>1.3598326359832639E-2</v>
      </c>
      <c r="J371" s="4">
        <f t="shared" si="20"/>
        <v>1.3598326359832639E-2</v>
      </c>
      <c r="K371" s="4">
        <f t="shared" si="20"/>
        <v>1.3598326359832639E-2</v>
      </c>
      <c r="L371" s="4">
        <f t="shared" si="20"/>
        <v>1.3598326359832639E-2</v>
      </c>
      <c r="M371" s="4">
        <f t="shared" si="20"/>
        <v>1.3598326359832639E-2</v>
      </c>
      <c r="N371" t="s">
        <v>242</v>
      </c>
      <c r="O371" t="s">
        <v>708</v>
      </c>
      <c r="P371" t="s">
        <v>709</v>
      </c>
      <c r="Q371" t="s">
        <v>245</v>
      </c>
    </row>
    <row r="372" spans="1:17" x14ac:dyDescent="0.25">
      <c r="A372" t="s">
        <v>710</v>
      </c>
      <c r="B372" t="s">
        <v>102</v>
      </c>
      <c r="C372" s="4">
        <f t="shared" ref="C372:M373" si="21">0.7%/0.956</f>
        <v>7.3221757322175724E-3</v>
      </c>
      <c r="D372" s="4">
        <f t="shared" si="21"/>
        <v>7.3221757322175724E-3</v>
      </c>
      <c r="E372" s="4">
        <f t="shared" si="21"/>
        <v>7.3221757322175724E-3</v>
      </c>
      <c r="F372" s="4">
        <f t="shared" si="21"/>
        <v>7.3221757322175724E-3</v>
      </c>
      <c r="G372" s="4">
        <f t="shared" si="21"/>
        <v>7.3221757322175724E-3</v>
      </c>
      <c r="H372" s="4">
        <f t="shared" si="21"/>
        <v>7.3221757322175724E-3</v>
      </c>
      <c r="I372" s="4">
        <f t="shared" si="21"/>
        <v>7.3221757322175724E-3</v>
      </c>
      <c r="J372" s="4">
        <f t="shared" si="21"/>
        <v>7.3221757322175724E-3</v>
      </c>
      <c r="K372" s="4">
        <f t="shared" si="21"/>
        <v>7.3221757322175724E-3</v>
      </c>
      <c r="L372" s="4">
        <f t="shared" si="21"/>
        <v>7.3221757322175724E-3</v>
      </c>
      <c r="M372" s="4">
        <f t="shared" si="21"/>
        <v>7.3221757322175724E-3</v>
      </c>
      <c r="N372" t="s">
        <v>242</v>
      </c>
      <c r="O372" t="s">
        <v>711</v>
      </c>
      <c r="P372" t="s">
        <v>710</v>
      </c>
      <c r="Q372" t="s">
        <v>245</v>
      </c>
    </row>
    <row r="373" spans="1:17" x14ac:dyDescent="0.25">
      <c r="A373" t="s">
        <v>709</v>
      </c>
      <c r="B373" t="s">
        <v>102</v>
      </c>
      <c r="C373" s="4">
        <f t="shared" si="21"/>
        <v>7.3221757322175724E-3</v>
      </c>
      <c r="D373" s="4">
        <f t="shared" si="21"/>
        <v>7.3221757322175724E-3</v>
      </c>
      <c r="E373" s="4">
        <f t="shared" si="21"/>
        <v>7.3221757322175724E-3</v>
      </c>
      <c r="F373" s="4">
        <f t="shared" si="21"/>
        <v>7.3221757322175724E-3</v>
      </c>
      <c r="G373" s="4">
        <f t="shared" si="21"/>
        <v>7.3221757322175724E-3</v>
      </c>
      <c r="H373" s="4">
        <f t="shared" si="21"/>
        <v>7.3221757322175724E-3</v>
      </c>
      <c r="I373" s="4">
        <f t="shared" si="21"/>
        <v>7.3221757322175724E-3</v>
      </c>
      <c r="J373" s="4">
        <f t="shared" si="21"/>
        <v>7.3221757322175724E-3</v>
      </c>
      <c r="K373" s="4">
        <f t="shared" si="21"/>
        <v>7.3221757322175724E-3</v>
      </c>
      <c r="L373" s="4">
        <f t="shared" si="21"/>
        <v>7.3221757322175724E-3</v>
      </c>
      <c r="M373" s="4">
        <f t="shared" si="21"/>
        <v>7.3221757322175724E-3</v>
      </c>
      <c r="N373" t="s">
        <v>242</v>
      </c>
      <c r="O373" t="s">
        <v>708</v>
      </c>
      <c r="P373" t="s">
        <v>709</v>
      </c>
      <c r="Q373" t="s">
        <v>245</v>
      </c>
    </row>
    <row r="374" spans="1:17" x14ac:dyDescent="0.25">
      <c r="A374" t="s">
        <v>710</v>
      </c>
      <c r="B374" t="s">
        <v>182</v>
      </c>
      <c r="C374" s="4">
        <f t="shared" ref="C374:M375" si="22">0.1%/0.956</f>
        <v>1.0460251046025106E-3</v>
      </c>
      <c r="D374" s="4">
        <f t="shared" si="22"/>
        <v>1.0460251046025106E-3</v>
      </c>
      <c r="E374" s="4">
        <f t="shared" si="22"/>
        <v>1.0460251046025106E-3</v>
      </c>
      <c r="F374" s="4">
        <f t="shared" si="22"/>
        <v>1.0460251046025106E-3</v>
      </c>
      <c r="G374" s="4">
        <f t="shared" si="22"/>
        <v>1.0460251046025106E-3</v>
      </c>
      <c r="H374" s="4">
        <f t="shared" si="22"/>
        <v>1.0460251046025106E-3</v>
      </c>
      <c r="I374" s="4">
        <f t="shared" si="22"/>
        <v>1.0460251046025106E-3</v>
      </c>
      <c r="J374" s="4">
        <f t="shared" si="22"/>
        <v>1.0460251046025106E-3</v>
      </c>
      <c r="K374" s="4">
        <f t="shared" si="22"/>
        <v>1.0460251046025106E-3</v>
      </c>
      <c r="L374" s="4">
        <f t="shared" si="22"/>
        <v>1.0460251046025106E-3</v>
      </c>
      <c r="M374" s="4">
        <f t="shared" si="22"/>
        <v>1.0460251046025106E-3</v>
      </c>
      <c r="N374" t="s">
        <v>242</v>
      </c>
      <c r="O374" t="s">
        <v>711</v>
      </c>
      <c r="P374" t="s">
        <v>710</v>
      </c>
      <c r="Q374" t="s">
        <v>245</v>
      </c>
    </row>
    <row r="375" spans="1:17" x14ac:dyDescent="0.25">
      <c r="A375" t="s">
        <v>709</v>
      </c>
      <c r="B375" t="s">
        <v>182</v>
      </c>
      <c r="C375" s="4">
        <f t="shared" si="22"/>
        <v>1.0460251046025106E-3</v>
      </c>
      <c r="D375" s="4">
        <f t="shared" si="22"/>
        <v>1.0460251046025106E-3</v>
      </c>
      <c r="E375" s="4">
        <f t="shared" si="22"/>
        <v>1.0460251046025106E-3</v>
      </c>
      <c r="F375" s="4">
        <f t="shared" si="22"/>
        <v>1.0460251046025106E-3</v>
      </c>
      <c r="G375" s="4">
        <f t="shared" si="22"/>
        <v>1.0460251046025106E-3</v>
      </c>
      <c r="H375" s="4">
        <f t="shared" si="22"/>
        <v>1.0460251046025106E-3</v>
      </c>
      <c r="I375" s="4">
        <f t="shared" si="22"/>
        <v>1.0460251046025106E-3</v>
      </c>
      <c r="J375" s="4">
        <f t="shared" si="22"/>
        <v>1.0460251046025106E-3</v>
      </c>
      <c r="K375" s="4">
        <f t="shared" si="22"/>
        <v>1.0460251046025106E-3</v>
      </c>
      <c r="L375" s="4">
        <f t="shared" si="22"/>
        <v>1.0460251046025106E-3</v>
      </c>
      <c r="M375" s="4">
        <f t="shared" si="22"/>
        <v>1.0460251046025106E-3</v>
      </c>
      <c r="N375" t="s">
        <v>242</v>
      </c>
      <c r="O375" t="s">
        <v>708</v>
      </c>
      <c r="P375" t="s">
        <v>709</v>
      </c>
      <c r="Q375" t="s">
        <v>245</v>
      </c>
    </row>
    <row r="376" spans="1:17" x14ac:dyDescent="0.25">
      <c r="A376" t="s">
        <v>710</v>
      </c>
      <c r="B376" t="s">
        <v>99</v>
      </c>
      <c r="C376" s="4">
        <f t="shared" ref="C376:M385" si="23">0.1%/0.956</f>
        <v>1.0460251046025106E-3</v>
      </c>
      <c r="D376" s="4">
        <f t="shared" si="23"/>
        <v>1.0460251046025106E-3</v>
      </c>
      <c r="E376" s="4">
        <f t="shared" si="23"/>
        <v>1.0460251046025106E-3</v>
      </c>
      <c r="F376" s="4">
        <f t="shared" si="23"/>
        <v>1.0460251046025106E-3</v>
      </c>
      <c r="G376" s="4">
        <f t="shared" si="23"/>
        <v>1.0460251046025106E-3</v>
      </c>
      <c r="H376" s="4">
        <f t="shared" si="23"/>
        <v>1.0460251046025106E-3</v>
      </c>
      <c r="I376" s="4">
        <f t="shared" si="23"/>
        <v>1.0460251046025106E-3</v>
      </c>
      <c r="J376" s="4">
        <f t="shared" si="23"/>
        <v>1.0460251046025106E-3</v>
      </c>
      <c r="K376" s="4">
        <f t="shared" si="23"/>
        <v>1.0460251046025106E-3</v>
      </c>
      <c r="L376" s="4">
        <f t="shared" si="23"/>
        <v>1.0460251046025106E-3</v>
      </c>
      <c r="M376" s="4">
        <f t="shared" si="23"/>
        <v>1.0460251046025106E-3</v>
      </c>
      <c r="N376" t="s">
        <v>242</v>
      </c>
      <c r="O376" t="s">
        <v>711</v>
      </c>
      <c r="P376" t="s">
        <v>710</v>
      </c>
      <c r="Q376" t="s">
        <v>245</v>
      </c>
    </row>
    <row r="377" spans="1:17" x14ac:dyDescent="0.25">
      <c r="A377" t="s">
        <v>709</v>
      </c>
      <c r="B377" t="s">
        <v>99</v>
      </c>
      <c r="C377" s="4">
        <f t="shared" si="23"/>
        <v>1.0460251046025106E-3</v>
      </c>
      <c r="D377" s="4">
        <f t="shared" si="23"/>
        <v>1.0460251046025106E-3</v>
      </c>
      <c r="E377" s="4">
        <f t="shared" si="23"/>
        <v>1.0460251046025106E-3</v>
      </c>
      <c r="F377" s="4">
        <f t="shared" si="23"/>
        <v>1.0460251046025106E-3</v>
      </c>
      <c r="G377" s="4">
        <f t="shared" si="23"/>
        <v>1.0460251046025106E-3</v>
      </c>
      <c r="H377" s="4">
        <f t="shared" si="23"/>
        <v>1.0460251046025106E-3</v>
      </c>
      <c r="I377" s="4">
        <f t="shared" si="23"/>
        <v>1.0460251046025106E-3</v>
      </c>
      <c r="J377" s="4">
        <f t="shared" si="23"/>
        <v>1.0460251046025106E-3</v>
      </c>
      <c r="K377" s="4">
        <f t="shared" si="23"/>
        <v>1.0460251046025106E-3</v>
      </c>
      <c r="L377" s="4">
        <f t="shared" si="23"/>
        <v>1.0460251046025106E-3</v>
      </c>
      <c r="M377" s="4">
        <f t="shared" si="23"/>
        <v>1.0460251046025106E-3</v>
      </c>
      <c r="N377" t="s">
        <v>242</v>
      </c>
      <c r="O377" t="s">
        <v>708</v>
      </c>
      <c r="P377" t="s">
        <v>709</v>
      </c>
      <c r="Q377" t="s">
        <v>245</v>
      </c>
    </row>
    <row r="378" spans="1:17" x14ac:dyDescent="0.25">
      <c r="A378" t="s">
        <v>710</v>
      </c>
      <c r="B378" t="s">
        <v>135</v>
      </c>
      <c r="C378" s="4">
        <f t="shared" si="23"/>
        <v>1.0460251046025106E-3</v>
      </c>
      <c r="D378" s="4">
        <f t="shared" si="23"/>
        <v>1.0460251046025106E-3</v>
      </c>
      <c r="E378" s="4">
        <f t="shared" si="23"/>
        <v>1.0460251046025106E-3</v>
      </c>
      <c r="F378" s="4">
        <f t="shared" si="23"/>
        <v>1.0460251046025106E-3</v>
      </c>
      <c r="G378" s="4">
        <f t="shared" si="23"/>
        <v>1.0460251046025106E-3</v>
      </c>
      <c r="H378" s="4">
        <f t="shared" si="23"/>
        <v>1.0460251046025106E-3</v>
      </c>
      <c r="I378" s="4">
        <f t="shared" si="23"/>
        <v>1.0460251046025106E-3</v>
      </c>
      <c r="J378" s="4">
        <f t="shared" si="23"/>
        <v>1.0460251046025106E-3</v>
      </c>
      <c r="K378" s="4">
        <f t="shared" si="23"/>
        <v>1.0460251046025106E-3</v>
      </c>
      <c r="L378" s="4">
        <f t="shared" si="23"/>
        <v>1.0460251046025106E-3</v>
      </c>
      <c r="M378" s="4">
        <f t="shared" si="23"/>
        <v>1.0460251046025106E-3</v>
      </c>
      <c r="N378" t="s">
        <v>242</v>
      </c>
      <c r="O378" t="s">
        <v>711</v>
      </c>
      <c r="P378" t="s">
        <v>710</v>
      </c>
      <c r="Q378" t="s">
        <v>245</v>
      </c>
    </row>
    <row r="379" spans="1:17" x14ac:dyDescent="0.25">
      <c r="A379" t="s">
        <v>709</v>
      </c>
      <c r="B379" t="s">
        <v>135</v>
      </c>
      <c r="C379" s="4">
        <f t="shared" si="23"/>
        <v>1.0460251046025106E-3</v>
      </c>
      <c r="D379" s="4">
        <f t="shared" si="23"/>
        <v>1.0460251046025106E-3</v>
      </c>
      <c r="E379" s="4">
        <f t="shared" si="23"/>
        <v>1.0460251046025106E-3</v>
      </c>
      <c r="F379" s="4">
        <f t="shared" si="23"/>
        <v>1.0460251046025106E-3</v>
      </c>
      <c r="G379" s="4">
        <f t="shared" si="23"/>
        <v>1.0460251046025106E-3</v>
      </c>
      <c r="H379" s="4">
        <f t="shared" si="23"/>
        <v>1.0460251046025106E-3</v>
      </c>
      <c r="I379" s="4">
        <f t="shared" si="23"/>
        <v>1.0460251046025106E-3</v>
      </c>
      <c r="J379" s="4">
        <f t="shared" si="23"/>
        <v>1.0460251046025106E-3</v>
      </c>
      <c r="K379" s="4">
        <f t="shared" si="23"/>
        <v>1.0460251046025106E-3</v>
      </c>
      <c r="L379" s="4">
        <f t="shared" si="23"/>
        <v>1.0460251046025106E-3</v>
      </c>
      <c r="M379" s="4">
        <f t="shared" si="23"/>
        <v>1.0460251046025106E-3</v>
      </c>
      <c r="N379" t="s">
        <v>242</v>
      </c>
      <c r="O379" t="s">
        <v>708</v>
      </c>
      <c r="P379" t="s">
        <v>709</v>
      </c>
      <c r="Q379" t="s">
        <v>245</v>
      </c>
    </row>
    <row r="380" spans="1:17" x14ac:dyDescent="0.25">
      <c r="A380" t="s">
        <v>710</v>
      </c>
      <c r="B380" t="s">
        <v>178</v>
      </c>
      <c r="C380" s="4">
        <f t="shared" si="23"/>
        <v>1.0460251046025106E-3</v>
      </c>
      <c r="D380" s="4">
        <f t="shared" si="23"/>
        <v>1.0460251046025106E-3</v>
      </c>
      <c r="E380" s="4">
        <f t="shared" si="23"/>
        <v>1.0460251046025106E-3</v>
      </c>
      <c r="F380" s="4">
        <f t="shared" si="23"/>
        <v>1.0460251046025106E-3</v>
      </c>
      <c r="G380" s="4">
        <f t="shared" si="23"/>
        <v>1.0460251046025106E-3</v>
      </c>
      <c r="H380" s="4">
        <f t="shared" si="23"/>
        <v>1.0460251046025106E-3</v>
      </c>
      <c r="I380" s="4">
        <f t="shared" si="23"/>
        <v>1.0460251046025106E-3</v>
      </c>
      <c r="J380" s="4">
        <f t="shared" si="23"/>
        <v>1.0460251046025106E-3</v>
      </c>
      <c r="K380" s="4">
        <f t="shared" si="23"/>
        <v>1.0460251046025106E-3</v>
      </c>
      <c r="L380" s="4">
        <f t="shared" si="23"/>
        <v>1.0460251046025106E-3</v>
      </c>
      <c r="M380" s="4">
        <f t="shared" si="23"/>
        <v>1.0460251046025106E-3</v>
      </c>
      <c r="N380" t="s">
        <v>242</v>
      </c>
      <c r="O380" t="s">
        <v>711</v>
      </c>
      <c r="P380" t="s">
        <v>710</v>
      </c>
      <c r="Q380" t="s">
        <v>245</v>
      </c>
    </row>
    <row r="381" spans="1:17" x14ac:dyDescent="0.25">
      <c r="A381" t="s">
        <v>709</v>
      </c>
      <c r="B381" t="s">
        <v>178</v>
      </c>
      <c r="C381" s="4">
        <f t="shared" si="23"/>
        <v>1.0460251046025106E-3</v>
      </c>
      <c r="D381" s="4">
        <f t="shared" si="23"/>
        <v>1.0460251046025106E-3</v>
      </c>
      <c r="E381" s="4">
        <f t="shared" si="23"/>
        <v>1.0460251046025106E-3</v>
      </c>
      <c r="F381" s="4">
        <f t="shared" si="23"/>
        <v>1.0460251046025106E-3</v>
      </c>
      <c r="G381" s="4">
        <f t="shared" si="23"/>
        <v>1.0460251046025106E-3</v>
      </c>
      <c r="H381" s="4">
        <f t="shared" si="23"/>
        <v>1.0460251046025106E-3</v>
      </c>
      <c r="I381" s="4">
        <f t="shared" si="23"/>
        <v>1.0460251046025106E-3</v>
      </c>
      <c r="J381" s="4">
        <f t="shared" si="23"/>
        <v>1.0460251046025106E-3</v>
      </c>
      <c r="K381" s="4">
        <f t="shared" si="23"/>
        <v>1.0460251046025106E-3</v>
      </c>
      <c r="L381" s="4">
        <f t="shared" si="23"/>
        <v>1.0460251046025106E-3</v>
      </c>
      <c r="M381" s="4">
        <f t="shared" si="23"/>
        <v>1.0460251046025106E-3</v>
      </c>
      <c r="N381" t="s">
        <v>242</v>
      </c>
      <c r="O381" t="s">
        <v>708</v>
      </c>
      <c r="P381" t="s">
        <v>709</v>
      </c>
      <c r="Q381" t="s">
        <v>245</v>
      </c>
    </row>
    <row r="382" spans="1:17" x14ac:dyDescent="0.25">
      <c r="A382" t="s">
        <v>710</v>
      </c>
      <c r="B382" t="s">
        <v>88</v>
      </c>
      <c r="C382" s="4">
        <f t="shared" si="23"/>
        <v>1.0460251046025106E-3</v>
      </c>
      <c r="D382" s="4">
        <f t="shared" si="23"/>
        <v>1.0460251046025106E-3</v>
      </c>
      <c r="E382" s="4">
        <f t="shared" si="23"/>
        <v>1.0460251046025106E-3</v>
      </c>
      <c r="F382" s="4">
        <f t="shared" si="23"/>
        <v>1.0460251046025106E-3</v>
      </c>
      <c r="G382" s="4">
        <f t="shared" si="23"/>
        <v>1.0460251046025106E-3</v>
      </c>
      <c r="H382" s="4">
        <f t="shared" si="23"/>
        <v>1.0460251046025106E-3</v>
      </c>
      <c r="I382" s="4">
        <f t="shared" si="23"/>
        <v>1.0460251046025106E-3</v>
      </c>
      <c r="J382" s="4">
        <f t="shared" si="23"/>
        <v>1.0460251046025106E-3</v>
      </c>
      <c r="K382" s="4">
        <f t="shared" si="23"/>
        <v>1.0460251046025106E-3</v>
      </c>
      <c r="L382" s="4">
        <f t="shared" si="23"/>
        <v>1.0460251046025106E-3</v>
      </c>
      <c r="M382" s="4">
        <f t="shared" si="23"/>
        <v>1.0460251046025106E-3</v>
      </c>
      <c r="N382" t="s">
        <v>242</v>
      </c>
      <c r="O382" t="s">
        <v>711</v>
      </c>
      <c r="P382" t="s">
        <v>710</v>
      </c>
      <c r="Q382" t="s">
        <v>245</v>
      </c>
    </row>
    <row r="383" spans="1:17" x14ac:dyDescent="0.25">
      <c r="A383" t="s">
        <v>709</v>
      </c>
      <c r="B383" t="s">
        <v>88</v>
      </c>
      <c r="C383" s="4">
        <f t="shared" si="23"/>
        <v>1.0460251046025106E-3</v>
      </c>
      <c r="D383" s="4">
        <f t="shared" si="23"/>
        <v>1.0460251046025106E-3</v>
      </c>
      <c r="E383" s="4">
        <f t="shared" si="23"/>
        <v>1.0460251046025106E-3</v>
      </c>
      <c r="F383" s="4">
        <f t="shared" si="23"/>
        <v>1.0460251046025106E-3</v>
      </c>
      <c r="G383" s="4">
        <f t="shared" si="23"/>
        <v>1.0460251046025106E-3</v>
      </c>
      <c r="H383" s="4">
        <f t="shared" si="23"/>
        <v>1.0460251046025106E-3</v>
      </c>
      <c r="I383" s="4">
        <f t="shared" si="23"/>
        <v>1.0460251046025106E-3</v>
      </c>
      <c r="J383" s="4">
        <f t="shared" si="23"/>
        <v>1.0460251046025106E-3</v>
      </c>
      <c r="K383" s="4">
        <f t="shared" si="23"/>
        <v>1.0460251046025106E-3</v>
      </c>
      <c r="L383" s="4">
        <f t="shared" si="23"/>
        <v>1.0460251046025106E-3</v>
      </c>
      <c r="M383" s="4">
        <f t="shared" si="23"/>
        <v>1.0460251046025106E-3</v>
      </c>
      <c r="N383" t="s">
        <v>242</v>
      </c>
      <c r="O383" t="s">
        <v>708</v>
      </c>
      <c r="P383" t="s">
        <v>709</v>
      </c>
      <c r="Q383" t="s">
        <v>245</v>
      </c>
    </row>
    <row r="384" spans="1:17" x14ac:dyDescent="0.25">
      <c r="A384" t="s">
        <v>710</v>
      </c>
      <c r="B384" t="s">
        <v>674</v>
      </c>
      <c r="C384" s="4">
        <f t="shared" si="23"/>
        <v>1.0460251046025106E-3</v>
      </c>
      <c r="D384" s="4">
        <f t="shared" si="23"/>
        <v>1.0460251046025106E-3</v>
      </c>
      <c r="E384" s="4">
        <f t="shared" si="23"/>
        <v>1.0460251046025106E-3</v>
      </c>
      <c r="F384" s="4">
        <f t="shared" si="23"/>
        <v>1.0460251046025106E-3</v>
      </c>
      <c r="G384" s="4">
        <f t="shared" si="23"/>
        <v>1.0460251046025106E-3</v>
      </c>
      <c r="H384" s="4">
        <f t="shared" si="23"/>
        <v>1.0460251046025106E-3</v>
      </c>
      <c r="I384" s="4">
        <f t="shared" si="23"/>
        <v>1.0460251046025106E-3</v>
      </c>
      <c r="J384" s="4">
        <f t="shared" si="23"/>
        <v>1.0460251046025106E-3</v>
      </c>
      <c r="K384" s="4">
        <f t="shared" si="23"/>
        <v>1.0460251046025106E-3</v>
      </c>
      <c r="L384" s="4">
        <f t="shared" si="23"/>
        <v>1.0460251046025106E-3</v>
      </c>
      <c r="M384" s="4">
        <f t="shared" si="23"/>
        <v>1.0460251046025106E-3</v>
      </c>
      <c r="N384" t="s">
        <v>242</v>
      </c>
      <c r="O384" t="s">
        <v>711</v>
      </c>
      <c r="P384" t="s">
        <v>710</v>
      </c>
      <c r="Q384" t="s">
        <v>245</v>
      </c>
    </row>
    <row r="385" spans="1:18" x14ac:dyDescent="0.25">
      <c r="A385" t="s">
        <v>709</v>
      </c>
      <c r="B385" t="s">
        <v>674</v>
      </c>
      <c r="C385" s="4">
        <f t="shared" si="23"/>
        <v>1.0460251046025106E-3</v>
      </c>
      <c r="D385" s="4">
        <f t="shared" si="23"/>
        <v>1.0460251046025106E-3</v>
      </c>
      <c r="E385" s="4">
        <f t="shared" si="23"/>
        <v>1.0460251046025106E-3</v>
      </c>
      <c r="F385" s="4">
        <f t="shared" si="23"/>
        <v>1.0460251046025106E-3</v>
      </c>
      <c r="G385" s="4">
        <f t="shared" si="23"/>
        <v>1.0460251046025106E-3</v>
      </c>
      <c r="H385" s="4">
        <f t="shared" si="23"/>
        <v>1.0460251046025106E-3</v>
      </c>
      <c r="I385" s="4">
        <f t="shared" si="23"/>
        <v>1.0460251046025106E-3</v>
      </c>
      <c r="J385" s="4">
        <f t="shared" si="23"/>
        <v>1.0460251046025106E-3</v>
      </c>
      <c r="K385" s="4">
        <f t="shared" si="23"/>
        <v>1.0460251046025106E-3</v>
      </c>
      <c r="L385" s="4">
        <f t="shared" si="23"/>
        <v>1.0460251046025106E-3</v>
      </c>
      <c r="M385" s="4">
        <f t="shared" si="23"/>
        <v>1.0460251046025106E-3</v>
      </c>
      <c r="N385" t="s">
        <v>242</v>
      </c>
      <c r="O385" t="s">
        <v>708</v>
      </c>
      <c r="P385" t="s">
        <v>709</v>
      </c>
      <c r="Q385" t="s">
        <v>245</v>
      </c>
    </row>
    <row r="386" spans="1:18" x14ac:dyDescent="0.25">
      <c r="A386" t="s">
        <v>19</v>
      </c>
      <c r="B386" t="s">
        <v>124</v>
      </c>
      <c r="C386" s="4">
        <f t="shared" ref="C386:M386" si="24">0.3* 0.268733689573754%</f>
        <v>8.0620106872126196E-4</v>
      </c>
      <c r="D386" s="4">
        <f t="shared" si="24"/>
        <v>8.0620106872126196E-4</v>
      </c>
      <c r="E386" s="4">
        <f t="shared" si="24"/>
        <v>8.0620106872126196E-4</v>
      </c>
      <c r="F386" s="4">
        <f t="shared" si="24"/>
        <v>8.0620106872126196E-4</v>
      </c>
      <c r="G386" s="4">
        <f t="shared" si="24"/>
        <v>8.0620106872126196E-4</v>
      </c>
      <c r="H386" s="4">
        <f t="shared" si="24"/>
        <v>8.0620106872126196E-4</v>
      </c>
      <c r="I386" s="4">
        <f t="shared" si="24"/>
        <v>8.0620106872126196E-4</v>
      </c>
      <c r="J386" s="4">
        <f t="shared" si="24"/>
        <v>8.0620106872126196E-4</v>
      </c>
      <c r="K386" s="4">
        <f t="shared" si="24"/>
        <v>8.0620106872126196E-4</v>
      </c>
      <c r="L386" s="4">
        <f t="shared" si="24"/>
        <v>8.0620106872126196E-4</v>
      </c>
      <c r="M386" s="4">
        <f t="shared" si="24"/>
        <v>8.0620106872126196E-4</v>
      </c>
      <c r="N386" t="s">
        <v>256</v>
      </c>
      <c r="O386" t="s">
        <v>282</v>
      </c>
      <c r="P386" t="s">
        <v>281</v>
      </c>
      <c r="Q386" t="s">
        <v>245</v>
      </c>
      <c r="R386" t="s">
        <v>283</v>
      </c>
    </row>
    <row r="387" spans="1:18" x14ac:dyDescent="0.25">
      <c r="A387" t="s">
        <v>19</v>
      </c>
      <c r="B387" t="s">
        <v>124</v>
      </c>
      <c r="C387" s="4">
        <f t="shared" ref="C387:M387" si="25" xml:space="preserve"> 0.7* 0.268733689573754%</f>
        <v>1.8811358270162779E-3</v>
      </c>
      <c r="D387" s="4">
        <f t="shared" si="25"/>
        <v>1.8811358270162779E-3</v>
      </c>
      <c r="E387" s="4">
        <f t="shared" si="25"/>
        <v>1.8811358270162779E-3</v>
      </c>
      <c r="F387" s="4">
        <f t="shared" si="25"/>
        <v>1.8811358270162779E-3</v>
      </c>
      <c r="G387" s="4">
        <f t="shared" si="25"/>
        <v>1.8811358270162779E-3</v>
      </c>
      <c r="H387" s="4">
        <f t="shared" si="25"/>
        <v>1.8811358270162779E-3</v>
      </c>
      <c r="I387" s="4">
        <f t="shared" si="25"/>
        <v>1.8811358270162779E-3</v>
      </c>
      <c r="J387" s="4">
        <f t="shared" si="25"/>
        <v>1.8811358270162779E-3</v>
      </c>
      <c r="K387" s="4">
        <f t="shared" si="25"/>
        <v>1.8811358270162779E-3</v>
      </c>
      <c r="L387" s="4">
        <f t="shared" si="25"/>
        <v>1.8811358270162779E-3</v>
      </c>
      <c r="M387" s="4">
        <f t="shared" si="25"/>
        <v>1.8811358270162779E-3</v>
      </c>
      <c r="N387" t="s">
        <v>256</v>
      </c>
      <c r="O387" t="s">
        <v>280</v>
      </c>
      <c r="P387" t="s">
        <v>281</v>
      </c>
      <c r="Q387" t="s">
        <v>245</v>
      </c>
      <c r="R387" t="s">
        <v>279</v>
      </c>
    </row>
    <row r="388" spans="1:18" x14ac:dyDescent="0.25">
      <c r="A388" t="s">
        <v>19</v>
      </c>
      <c r="B388" t="s">
        <v>85</v>
      </c>
      <c r="C388" s="4">
        <f t="shared" ref="C388:M388" si="26">0.3*0.769696781409221%</f>
        <v>2.3090903442276631E-3</v>
      </c>
      <c r="D388" s="4">
        <f t="shared" si="26"/>
        <v>2.3090903442276631E-3</v>
      </c>
      <c r="E388" s="4">
        <f t="shared" si="26"/>
        <v>2.3090903442276631E-3</v>
      </c>
      <c r="F388" s="4">
        <f t="shared" si="26"/>
        <v>2.3090903442276631E-3</v>
      </c>
      <c r="G388" s="4">
        <f t="shared" si="26"/>
        <v>2.3090903442276631E-3</v>
      </c>
      <c r="H388" s="4">
        <f t="shared" si="26"/>
        <v>2.3090903442276631E-3</v>
      </c>
      <c r="I388" s="4">
        <f t="shared" si="26"/>
        <v>2.3090903442276631E-3</v>
      </c>
      <c r="J388" s="4">
        <f t="shared" si="26"/>
        <v>2.3090903442276631E-3</v>
      </c>
      <c r="K388" s="4">
        <f t="shared" si="26"/>
        <v>2.3090903442276631E-3</v>
      </c>
      <c r="L388" s="4">
        <f t="shared" si="26"/>
        <v>2.3090903442276631E-3</v>
      </c>
      <c r="M388" s="4">
        <f t="shared" si="26"/>
        <v>2.3090903442276631E-3</v>
      </c>
      <c r="N388" t="s">
        <v>256</v>
      </c>
      <c r="O388" t="s">
        <v>282</v>
      </c>
      <c r="P388" t="s">
        <v>281</v>
      </c>
      <c r="Q388" t="s">
        <v>245</v>
      </c>
    </row>
    <row r="389" spans="1:18" x14ac:dyDescent="0.25">
      <c r="A389" t="s">
        <v>19</v>
      </c>
      <c r="B389" t="s">
        <v>85</v>
      </c>
      <c r="C389" s="4">
        <f t="shared" ref="C389:M389" si="27" xml:space="preserve"> 0.7*0.769696781409221%</f>
        <v>5.3878774698645467E-3</v>
      </c>
      <c r="D389" s="4">
        <f t="shared" si="27"/>
        <v>5.3878774698645467E-3</v>
      </c>
      <c r="E389" s="4">
        <f t="shared" si="27"/>
        <v>5.3878774698645467E-3</v>
      </c>
      <c r="F389" s="4">
        <f t="shared" si="27"/>
        <v>5.3878774698645467E-3</v>
      </c>
      <c r="G389" s="4">
        <f t="shared" si="27"/>
        <v>5.3878774698645467E-3</v>
      </c>
      <c r="H389" s="4">
        <f t="shared" si="27"/>
        <v>5.3878774698645467E-3</v>
      </c>
      <c r="I389" s="4">
        <f t="shared" si="27"/>
        <v>5.3878774698645467E-3</v>
      </c>
      <c r="J389" s="4">
        <f t="shared" si="27"/>
        <v>5.3878774698645467E-3</v>
      </c>
      <c r="K389" s="4">
        <f t="shared" si="27"/>
        <v>5.3878774698645467E-3</v>
      </c>
      <c r="L389" s="4">
        <f t="shared" si="27"/>
        <v>5.3878774698645467E-3</v>
      </c>
      <c r="M389" s="4">
        <f t="shared" si="27"/>
        <v>5.3878774698645467E-3</v>
      </c>
      <c r="N389" t="s">
        <v>256</v>
      </c>
      <c r="O389" t="s">
        <v>280</v>
      </c>
      <c r="P389" t="s">
        <v>281</v>
      </c>
      <c r="Q389" t="s">
        <v>245</v>
      </c>
    </row>
    <row r="390" spans="1:18" x14ac:dyDescent="0.25">
      <c r="A390" t="s">
        <v>19</v>
      </c>
      <c r="B390" t="s">
        <v>147</v>
      </c>
      <c r="C390" s="4">
        <f t="shared" ref="C390:M390" si="28">0.3*1.23570895986082%</f>
        <v>3.7071268795824596E-3</v>
      </c>
      <c r="D390" s="4">
        <f t="shared" si="28"/>
        <v>3.7071268795824596E-3</v>
      </c>
      <c r="E390" s="4">
        <f t="shared" si="28"/>
        <v>3.7071268795824596E-3</v>
      </c>
      <c r="F390" s="4">
        <f t="shared" si="28"/>
        <v>3.7071268795824596E-3</v>
      </c>
      <c r="G390" s="4">
        <f t="shared" si="28"/>
        <v>3.7071268795824596E-3</v>
      </c>
      <c r="H390" s="4">
        <f t="shared" si="28"/>
        <v>3.7071268795824596E-3</v>
      </c>
      <c r="I390" s="4">
        <f t="shared" si="28"/>
        <v>3.7071268795824596E-3</v>
      </c>
      <c r="J390" s="4">
        <f t="shared" si="28"/>
        <v>3.7071268795824596E-3</v>
      </c>
      <c r="K390" s="4">
        <f t="shared" si="28"/>
        <v>3.7071268795824596E-3</v>
      </c>
      <c r="L390" s="4">
        <f t="shared" si="28"/>
        <v>3.7071268795824596E-3</v>
      </c>
      <c r="M390" s="4">
        <f t="shared" si="28"/>
        <v>3.7071268795824596E-3</v>
      </c>
      <c r="N390" t="s">
        <v>256</v>
      </c>
      <c r="O390" t="s">
        <v>282</v>
      </c>
      <c r="P390" t="s">
        <v>281</v>
      </c>
      <c r="Q390" t="s">
        <v>245</v>
      </c>
    </row>
    <row r="391" spans="1:18" x14ac:dyDescent="0.25">
      <c r="A391" t="s">
        <v>19</v>
      </c>
      <c r="B391" t="s">
        <v>147</v>
      </c>
      <c r="C391" s="4">
        <f t="shared" ref="C391:M391" si="29" xml:space="preserve"> 0.7*1.23570895986082%</f>
        <v>8.6499627190257389E-3</v>
      </c>
      <c r="D391" s="4">
        <f t="shared" si="29"/>
        <v>8.6499627190257389E-3</v>
      </c>
      <c r="E391" s="4">
        <f t="shared" si="29"/>
        <v>8.6499627190257389E-3</v>
      </c>
      <c r="F391" s="4">
        <f t="shared" si="29"/>
        <v>8.6499627190257389E-3</v>
      </c>
      <c r="G391" s="4">
        <f t="shared" si="29"/>
        <v>8.6499627190257389E-3</v>
      </c>
      <c r="H391" s="4">
        <f t="shared" si="29"/>
        <v>8.6499627190257389E-3</v>
      </c>
      <c r="I391" s="4">
        <f t="shared" si="29"/>
        <v>8.6499627190257389E-3</v>
      </c>
      <c r="J391" s="4">
        <f t="shared" si="29"/>
        <v>8.6499627190257389E-3</v>
      </c>
      <c r="K391" s="4">
        <f t="shared" si="29"/>
        <v>8.6499627190257389E-3</v>
      </c>
      <c r="L391" s="4">
        <f t="shared" si="29"/>
        <v>8.6499627190257389E-3</v>
      </c>
      <c r="M391" s="4">
        <f t="shared" si="29"/>
        <v>8.6499627190257389E-3</v>
      </c>
      <c r="N391" t="s">
        <v>256</v>
      </c>
      <c r="O391" t="s">
        <v>280</v>
      </c>
      <c r="P391" t="s">
        <v>281</v>
      </c>
      <c r="Q391" t="s">
        <v>245</v>
      </c>
    </row>
    <row r="392" spans="1:18" x14ac:dyDescent="0.25">
      <c r="A392" t="s">
        <v>19</v>
      </c>
      <c r="B392" t="s">
        <v>116</v>
      </c>
      <c r="C392" s="4">
        <f t="shared" ref="C392:M392" si="30">0.3*5.74903690816453%</f>
        <v>1.7247110724493586E-2</v>
      </c>
      <c r="D392" s="4">
        <f t="shared" si="30"/>
        <v>1.7247110724493586E-2</v>
      </c>
      <c r="E392" s="4">
        <f t="shared" si="30"/>
        <v>1.7247110724493586E-2</v>
      </c>
      <c r="F392" s="4">
        <f t="shared" si="30"/>
        <v>1.7247110724493586E-2</v>
      </c>
      <c r="G392" s="4">
        <f t="shared" si="30"/>
        <v>1.7247110724493586E-2</v>
      </c>
      <c r="H392" s="4">
        <f t="shared" si="30"/>
        <v>1.7247110724493586E-2</v>
      </c>
      <c r="I392" s="4">
        <f t="shared" si="30"/>
        <v>1.7247110724493586E-2</v>
      </c>
      <c r="J392" s="4">
        <f t="shared" si="30"/>
        <v>1.7247110724493586E-2</v>
      </c>
      <c r="K392" s="4">
        <f t="shared" si="30"/>
        <v>1.7247110724493586E-2</v>
      </c>
      <c r="L392" s="4">
        <f t="shared" si="30"/>
        <v>1.7247110724493586E-2</v>
      </c>
      <c r="M392" s="4">
        <f t="shared" si="30"/>
        <v>1.7247110724493586E-2</v>
      </c>
      <c r="N392" t="s">
        <v>288</v>
      </c>
      <c r="O392" t="s">
        <v>282</v>
      </c>
      <c r="P392" t="s">
        <v>281</v>
      </c>
      <c r="Q392" t="s">
        <v>245</v>
      </c>
    </row>
    <row r="393" spans="1:18" x14ac:dyDescent="0.25">
      <c r="A393" t="s">
        <v>19</v>
      </c>
      <c r="B393" t="s">
        <v>116</v>
      </c>
      <c r="C393" s="4">
        <f t="shared" ref="C393:M393" si="31" xml:space="preserve"> 0.7*5.74903690816453%</f>
        <v>4.0243258357151701E-2</v>
      </c>
      <c r="D393" s="4">
        <f t="shared" si="31"/>
        <v>4.0243258357151701E-2</v>
      </c>
      <c r="E393" s="4">
        <f t="shared" si="31"/>
        <v>4.0243258357151701E-2</v>
      </c>
      <c r="F393" s="4">
        <f t="shared" si="31"/>
        <v>4.0243258357151701E-2</v>
      </c>
      <c r="G393" s="4">
        <f t="shared" si="31"/>
        <v>4.0243258357151701E-2</v>
      </c>
      <c r="H393" s="4">
        <f t="shared" si="31"/>
        <v>4.0243258357151701E-2</v>
      </c>
      <c r="I393" s="4">
        <f t="shared" si="31"/>
        <v>4.0243258357151701E-2</v>
      </c>
      <c r="J393" s="4">
        <f t="shared" si="31"/>
        <v>4.0243258357151701E-2</v>
      </c>
      <c r="K393" s="4">
        <f t="shared" si="31"/>
        <v>4.0243258357151701E-2</v>
      </c>
      <c r="L393" s="4">
        <f t="shared" si="31"/>
        <v>4.0243258357151701E-2</v>
      </c>
      <c r="M393" s="4">
        <f t="shared" si="31"/>
        <v>4.0243258357151701E-2</v>
      </c>
      <c r="N393" t="s">
        <v>256</v>
      </c>
      <c r="O393" t="s">
        <v>280</v>
      </c>
      <c r="P393" t="s">
        <v>281</v>
      </c>
      <c r="Q393" t="s">
        <v>245</v>
      </c>
    </row>
    <row r="394" spans="1:18" x14ac:dyDescent="0.25">
      <c r="A394" t="s">
        <v>19</v>
      </c>
      <c r="B394" t="s">
        <v>86</v>
      </c>
      <c r="C394" s="4">
        <f t="shared" ref="C394:M394" si="32">0.3*5.74903690816453%</f>
        <v>1.7247110724493586E-2</v>
      </c>
      <c r="D394" s="4">
        <f t="shared" si="32"/>
        <v>1.7247110724493586E-2</v>
      </c>
      <c r="E394" s="4">
        <f t="shared" si="32"/>
        <v>1.7247110724493586E-2</v>
      </c>
      <c r="F394" s="4">
        <f t="shared" si="32"/>
        <v>1.7247110724493586E-2</v>
      </c>
      <c r="G394" s="4">
        <f t="shared" si="32"/>
        <v>1.7247110724493586E-2</v>
      </c>
      <c r="H394" s="4">
        <f t="shared" si="32"/>
        <v>1.7247110724493586E-2</v>
      </c>
      <c r="I394" s="4">
        <f t="shared" si="32"/>
        <v>1.7247110724493586E-2</v>
      </c>
      <c r="J394" s="4">
        <f t="shared" si="32"/>
        <v>1.7247110724493586E-2</v>
      </c>
      <c r="K394" s="4">
        <f t="shared" si="32"/>
        <v>1.7247110724493586E-2</v>
      </c>
      <c r="L394" s="4">
        <f t="shared" si="32"/>
        <v>1.7247110724493586E-2</v>
      </c>
      <c r="M394" s="4">
        <f t="shared" si="32"/>
        <v>1.7247110724493586E-2</v>
      </c>
      <c r="N394" t="s">
        <v>256</v>
      </c>
      <c r="O394" t="s">
        <v>282</v>
      </c>
      <c r="P394" t="s">
        <v>281</v>
      </c>
      <c r="Q394" t="s">
        <v>245</v>
      </c>
    </row>
    <row r="395" spans="1:18" x14ac:dyDescent="0.25">
      <c r="A395" t="s">
        <v>19</v>
      </c>
      <c r="B395" t="s">
        <v>86</v>
      </c>
      <c r="C395" s="4">
        <f t="shared" ref="C395:M395" si="33" xml:space="preserve"> 0.7*38.6083322977507%</f>
        <v>0.27025832608425487</v>
      </c>
      <c r="D395" s="4">
        <f t="shared" si="33"/>
        <v>0.27025832608425487</v>
      </c>
      <c r="E395" s="4">
        <f t="shared" si="33"/>
        <v>0.27025832608425487</v>
      </c>
      <c r="F395" s="4">
        <f t="shared" si="33"/>
        <v>0.27025832608425487</v>
      </c>
      <c r="G395" s="4">
        <f t="shared" si="33"/>
        <v>0.27025832608425487</v>
      </c>
      <c r="H395" s="4">
        <f t="shared" si="33"/>
        <v>0.27025832608425487</v>
      </c>
      <c r="I395" s="4">
        <f t="shared" si="33"/>
        <v>0.27025832608425487</v>
      </c>
      <c r="J395" s="4">
        <f t="shared" si="33"/>
        <v>0.27025832608425487</v>
      </c>
      <c r="K395" s="4">
        <f t="shared" si="33"/>
        <v>0.27025832608425487</v>
      </c>
      <c r="L395" s="4">
        <f t="shared" si="33"/>
        <v>0.27025832608425487</v>
      </c>
      <c r="M395" s="4">
        <f t="shared" si="33"/>
        <v>0.27025832608425487</v>
      </c>
      <c r="N395" t="s">
        <v>256</v>
      </c>
      <c r="O395" t="s">
        <v>280</v>
      </c>
      <c r="P395" t="s">
        <v>281</v>
      </c>
      <c r="Q395" t="s">
        <v>245</v>
      </c>
    </row>
    <row r="396" spans="1:18" x14ac:dyDescent="0.25">
      <c r="A396" t="s">
        <v>19</v>
      </c>
      <c r="B396" t="s">
        <v>117</v>
      </c>
      <c r="C396" s="4">
        <f t="shared" ref="C396:M396" si="34">0.3*1.78638001739779%</f>
        <v>5.3591400521933704E-3</v>
      </c>
      <c r="D396" s="4">
        <f t="shared" si="34"/>
        <v>5.3591400521933704E-3</v>
      </c>
      <c r="E396" s="4">
        <f t="shared" si="34"/>
        <v>5.3591400521933704E-3</v>
      </c>
      <c r="F396" s="4">
        <f t="shared" si="34"/>
        <v>5.3591400521933704E-3</v>
      </c>
      <c r="G396" s="4">
        <f t="shared" si="34"/>
        <v>5.3591400521933704E-3</v>
      </c>
      <c r="H396" s="4">
        <f t="shared" si="34"/>
        <v>5.3591400521933704E-3</v>
      </c>
      <c r="I396" s="4">
        <f t="shared" si="34"/>
        <v>5.3591400521933704E-3</v>
      </c>
      <c r="J396" s="4">
        <f t="shared" si="34"/>
        <v>5.3591400521933704E-3</v>
      </c>
      <c r="K396" s="4">
        <f t="shared" si="34"/>
        <v>5.3591400521933704E-3</v>
      </c>
      <c r="L396" s="4">
        <f t="shared" si="34"/>
        <v>5.3591400521933704E-3</v>
      </c>
      <c r="M396" s="4">
        <f t="shared" si="34"/>
        <v>5.3591400521933704E-3</v>
      </c>
      <c r="N396" t="s">
        <v>256</v>
      </c>
      <c r="O396" t="s">
        <v>282</v>
      </c>
      <c r="P396" t="s">
        <v>281</v>
      </c>
      <c r="Q396" t="s">
        <v>245</v>
      </c>
    </row>
    <row r="397" spans="1:18" x14ac:dyDescent="0.25">
      <c r="A397" t="s">
        <v>19</v>
      </c>
      <c r="B397" t="s">
        <v>117</v>
      </c>
      <c r="C397" s="4">
        <f t="shared" ref="C397:M397" si="35" xml:space="preserve"> 0.7*1.78638001739779%</f>
        <v>1.2504660121784529E-2</v>
      </c>
      <c r="D397" s="4">
        <f t="shared" si="35"/>
        <v>1.2504660121784529E-2</v>
      </c>
      <c r="E397" s="4">
        <f t="shared" si="35"/>
        <v>1.2504660121784529E-2</v>
      </c>
      <c r="F397" s="4">
        <f t="shared" si="35"/>
        <v>1.2504660121784529E-2</v>
      </c>
      <c r="G397" s="4">
        <f t="shared" si="35"/>
        <v>1.2504660121784529E-2</v>
      </c>
      <c r="H397" s="4">
        <f t="shared" si="35"/>
        <v>1.2504660121784529E-2</v>
      </c>
      <c r="I397" s="4">
        <f t="shared" si="35"/>
        <v>1.2504660121784529E-2</v>
      </c>
      <c r="J397" s="4">
        <f t="shared" si="35"/>
        <v>1.2504660121784529E-2</v>
      </c>
      <c r="K397" s="4">
        <f t="shared" si="35"/>
        <v>1.2504660121784529E-2</v>
      </c>
      <c r="L397" s="4">
        <f t="shared" si="35"/>
        <v>1.2504660121784529E-2</v>
      </c>
      <c r="M397" s="4">
        <f t="shared" si="35"/>
        <v>1.2504660121784529E-2</v>
      </c>
      <c r="N397" t="s">
        <v>256</v>
      </c>
      <c r="O397" t="s">
        <v>280</v>
      </c>
      <c r="P397" t="s">
        <v>281</v>
      </c>
      <c r="Q397" t="s">
        <v>245</v>
      </c>
    </row>
    <row r="398" spans="1:18" x14ac:dyDescent="0.25">
      <c r="A398" t="s">
        <v>19</v>
      </c>
      <c r="B398" t="s">
        <v>97</v>
      </c>
      <c r="C398" s="4">
        <f t="shared" ref="C398:M398" si="36">0.3*0.0365042873120417%</f>
        <v>1.095128619361251E-4</v>
      </c>
      <c r="D398" s="4">
        <f t="shared" si="36"/>
        <v>1.095128619361251E-4</v>
      </c>
      <c r="E398" s="4">
        <f t="shared" si="36"/>
        <v>1.095128619361251E-4</v>
      </c>
      <c r="F398" s="4">
        <f t="shared" si="36"/>
        <v>1.095128619361251E-4</v>
      </c>
      <c r="G398" s="4">
        <f t="shared" si="36"/>
        <v>1.095128619361251E-4</v>
      </c>
      <c r="H398" s="4">
        <f t="shared" si="36"/>
        <v>1.095128619361251E-4</v>
      </c>
      <c r="I398" s="4">
        <f t="shared" si="36"/>
        <v>1.095128619361251E-4</v>
      </c>
      <c r="J398" s="4">
        <f t="shared" si="36"/>
        <v>1.095128619361251E-4</v>
      </c>
      <c r="K398" s="4">
        <f t="shared" si="36"/>
        <v>1.095128619361251E-4</v>
      </c>
      <c r="L398" s="4">
        <f t="shared" si="36"/>
        <v>1.095128619361251E-4</v>
      </c>
      <c r="M398" s="4">
        <f t="shared" si="36"/>
        <v>1.095128619361251E-4</v>
      </c>
      <c r="N398" t="s">
        <v>256</v>
      </c>
      <c r="O398" t="s">
        <v>282</v>
      </c>
      <c r="P398" t="s">
        <v>281</v>
      </c>
      <c r="Q398" t="s">
        <v>245</v>
      </c>
    </row>
    <row r="399" spans="1:18" x14ac:dyDescent="0.25">
      <c r="A399" t="s">
        <v>19</v>
      </c>
      <c r="B399" t="s">
        <v>97</v>
      </c>
      <c r="C399" s="4">
        <f t="shared" ref="C399:M399" si="37" xml:space="preserve"> 0.7*0.0365042873120417%</f>
        <v>2.555300111842919E-4</v>
      </c>
      <c r="D399" s="4">
        <f t="shared" si="37"/>
        <v>2.555300111842919E-4</v>
      </c>
      <c r="E399" s="4">
        <f t="shared" si="37"/>
        <v>2.555300111842919E-4</v>
      </c>
      <c r="F399" s="4">
        <f t="shared" si="37"/>
        <v>2.555300111842919E-4</v>
      </c>
      <c r="G399" s="4">
        <f t="shared" si="37"/>
        <v>2.555300111842919E-4</v>
      </c>
      <c r="H399" s="4">
        <f t="shared" si="37"/>
        <v>2.555300111842919E-4</v>
      </c>
      <c r="I399" s="4">
        <f t="shared" si="37"/>
        <v>2.555300111842919E-4</v>
      </c>
      <c r="J399" s="4">
        <f t="shared" si="37"/>
        <v>2.555300111842919E-4</v>
      </c>
      <c r="K399" s="4">
        <f t="shared" si="37"/>
        <v>2.555300111842919E-4</v>
      </c>
      <c r="L399" s="4">
        <f t="shared" si="37"/>
        <v>2.555300111842919E-4</v>
      </c>
      <c r="M399" s="4">
        <f t="shared" si="37"/>
        <v>2.555300111842919E-4</v>
      </c>
      <c r="N399" t="s">
        <v>256</v>
      </c>
      <c r="O399" t="s">
        <v>280</v>
      </c>
      <c r="P399" t="s">
        <v>281</v>
      </c>
      <c r="Q399" t="s">
        <v>245</v>
      </c>
    </row>
    <row r="400" spans="1:18" x14ac:dyDescent="0.25">
      <c r="A400" t="s">
        <v>19</v>
      </c>
      <c r="B400" t="s">
        <v>119</v>
      </c>
      <c r="C400" s="4">
        <f t="shared" ref="C400:M400" si="38">0.3*7.69075431837952%</f>
        <v>2.3072262955138558E-2</v>
      </c>
      <c r="D400" s="4">
        <f t="shared" si="38"/>
        <v>2.3072262955138558E-2</v>
      </c>
      <c r="E400" s="4">
        <f t="shared" si="38"/>
        <v>2.3072262955138558E-2</v>
      </c>
      <c r="F400" s="4">
        <f t="shared" si="38"/>
        <v>2.3072262955138558E-2</v>
      </c>
      <c r="G400" s="4">
        <f t="shared" si="38"/>
        <v>2.3072262955138558E-2</v>
      </c>
      <c r="H400" s="4">
        <f t="shared" si="38"/>
        <v>2.3072262955138558E-2</v>
      </c>
      <c r="I400" s="4">
        <f t="shared" si="38"/>
        <v>2.3072262955138558E-2</v>
      </c>
      <c r="J400" s="4">
        <f t="shared" si="38"/>
        <v>2.3072262955138558E-2</v>
      </c>
      <c r="K400" s="4">
        <f t="shared" si="38"/>
        <v>2.3072262955138558E-2</v>
      </c>
      <c r="L400" s="4">
        <f t="shared" si="38"/>
        <v>2.3072262955138558E-2</v>
      </c>
      <c r="M400" s="4">
        <f t="shared" si="38"/>
        <v>2.3072262955138558E-2</v>
      </c>
      <c r="N400" t="s">
        <v>256</v>
      </c>
      <c r="O400" t="s">
        <v>282</v>
      </c>
      <c r="P400" t="s">
        <v>281</v>
      </c>
      <c r="Q400" t="s">
        <v>245</v>
      </c>
    </row>
    <row r="401" spans="1:17" x14ac:dyDescent="0.25">
      <c r="A401" t="s">
        <v>19</v>
      </c>
      <c r="B401" t="s">
        <v>119</v>
      </c>
      <c r="C401" s="4">
        <f t="shared" ref="C401:M401" si="39" xml:space="preserve"> 0.7*7.69075431837952%</f>
        <v>5.3835280228656635E-2</v>
      </c>
      <c r="D401" s="4">
        <f t="shared" si="39"/>
        <v>5.3835280228656635E-2</v>
      </c>
      <c r="E401" s="4">
        <f t="shared" si="39"/>
        <v>5.3835280228656635E-2</v>
      </c>
      <c r="F401" s="4">
        <f t="shared" si="39"/>
        <v>5.3835280228656635E-2</v>
      </c>
      <c r="G401" s="4">
        <f t="shared" si="39"/>
        <v>5.3835280228656635E-2</v>
      </c>
      <c r="H401" s="4">
        <f t="shared" si="39"/>
        <v>5.3835280228656635E-2</v>
      </c>
      <c r="I401" s="4">
        <f t="shared" si="39"/>
        <v>5.3835280228656635E-2</v>
      </c>
      <c r="J401" s="4">
        <f t="shared" si="39"/>
        <v>5.3835280228656635E-2</v>
      </c>
      <c r="K401" s="4">
        <f t="shared" si="39"/>
        <v>5.3835280228656635E-2</v>
      </c>
      <c r="L401" s="4">
        <f t="shared" si="39"/>
        <v>5.3835280228656635E-2</v>
      </c>
      <c r="M401" s="4">
        <f t="shared" si="39"/>
        <v>5.3835280228656635E-2</v>
      </c>
      <c r="N401" t="s">
        <v>256</v>
      </c>
      <c r="O401" t="s">
        <v>280</v>
      </c>
      <c r="P401" t="s">
        <v>281</v>
      </c>
      <c r="Q401" t="s">
        <v>245</v>
      </c>
    </row>
    <row r="402" spans="1:17" x14ac:dyDescent="0.25">
      <c r="A402" t="s">
        <v>19</v>
      </c>
      <c r="B402" t="s">
        <v>102</v>
      </c>
      <c r="C402" s="4">
        <f t="shared" ref="C402:M402" si="40">0.3*5.74748353423636%</f>
        <v>1.724245060270908E-2</v>
      </c>
      <c r="D402" s="4">
        <f t="shared" si="40"/>
        <v>1.724245060270908E-2</v>
      </c>
      <c r="E402" s="4">
        <f t="shared" si="40"/>
        <v>1.724245060270908E-2</v>
      </c>
      <c r="F402" s="4">
        <f t="shared" si="40"/>
        <v>1.724245060270908E-2</v>
      </c>
      <c r="G402" s="4">
        <f t="shared" si="40"/>
        <v>1.724245060270908E-2</v>
      </c>
      <c r="H402" s="4">
        <f t="shared" si="40"/>
        <v>1.724245060270908E-2</v>
      </c>
      <c r="I402" s="4">
        <f t="shared" si="40"/>
        <v>1.724245060270908E-2</v>
      </c>
      <c r="J402" s="4">
        <f t="shared" si="40"/>
        <v>1.724245060270908E-2</v>
      </c>
      <c r="K402" s="4">
        <f t="shared" si="40"/>
        <v>1.724245060270908E-2</v>
      </c>
      <c r="L402" s="4">
        <f t="shared" si="40"/>
        <v>1.724245060270908E-2</v>
      </c>
      <c r="M402" s="4">
        <f t="shared" si="40"/>
        <v>1.724245060270908E-2</v>
      </c>
      <c r="N402" t="s">
        <v>256</v>
      </c>
      <c r="O402" t="s">
        <v>282</v>
      </c>
      <c r="P402" t="s">
        <v>281</v>
      </c>
      <c r="Q402" t="s">
        <v>245</v>
      </c>
    </row>
    <row r="403" spans="1:17" x14ac:dyDescent="0.25">
      <c r="A403" t="s">
        <v>19</v>
      </c>
      <c r="B403" t="s">
        <v>102</v>
      </c>
      <c r="C403" s="4">
        <f t="shared" ref="C403:M403" si="41" xml:space="preserve"> 0.7*5.74748353423636%</f>
        <v>4.0232384739654514E-2</v>
      </c>
      <c r="D403" s="4">
        <f t="shared" si="41"/>
        <v>4.0232384739654514E-2</v>
      </c>
      <c r="E403" s="4">
        <f t="shared" si="41"/>
        <v>4.0232384739654514E-2</v>
      </c>
      <c r="F403" s="4">
        <f t="shared" si="41"/>
        <v>4.0232384739654514E-2</v>
      </c>
      <c r="G403" s="4">
        <f t="shared" si="41"/>
        <v>4.0232384739654514E-2</v>
      </c>
      <c r="H403" s="4">
        <f t="shared" si="41"/>
        <v>4.0232384739654514E-2</v>
      </c>
      <c r="I403" s="4">
        <f t="shared" si="41"/>
        <v>4.0232384739654514E-2</v>
      </c>
      <c r="J403" s="4">
        <f t="shared" si="41"/>
        <v>4.0232384739654514E-2</v>
      </c>
      <c r="K403" s="4">
        <f t="shared" si="41"/>
        <v>4.0232384739654514E-2</v>
      </c>
      <c r="L403" s="4">
        <f t="shared" si="41"/>
        <v>4.0232384739654514E-2</v>
      </c>
      <c r="M403" s="4">
        <f t="shared" si="41"/>
        <v>4.0232384739654514E-2</v>
      </c>
      <c r="N403" t="s">
        <v>256</v>
      </c>
      <c r="O403" t="s">
        <v>280</v>
      </c>
      <c r="P403" t="s">
        <v>281</v>
      </c>
      <c r="Q403" t="s">
        <v>245</v>
      </c>
    </row>
    <row r="404" spans="1:17" x14ac:dyDescent="0.25">
      <c r="A404" t="s">
        <v>19</v>
      </c>
      <c r="B404" t="s">
        <v>148</v>
      </c>
      <c r="C404" s="4">
        <f t="shared" ref="C404:M404" si="42">0.3*17.4016714303467%</f>
        <v>5.2205014291040096E-2</v>
      </c>
      <c r="D404" s="4">
        <f t="shared" si="42"/>
        <v>5.2205014291040096E-2</v>
      </c>
      <c r="E404" s="4">
        <f t="shared" si="42"/>
        <v>5.2205014291040096E-2</v>
      </c>
      <c r="F404" s="4">
        <f t="shared" si="42"/>
        <v>5.2205014291040096E-2</v>
      </c>
      <c r="G404" s="4">
        <f t="shared" si="42"/>
        <v>5.2205014291040096E-2</v>
      </c>
      <c r="H404" s="4">
        <f t="shared" si="42"/>
        <v>5.2205014291040096E-2</v>
      </c>
      <c r="I404" s="4">
        <f t="shared" si="42"/>
        <v>5.2205014291040096E-2</v>
      </c>
      <c r="J404" s="4">
        <f t="shared" si="42"/>
        <v>5.2205014291040096E-2</v>
      </c>
      <c r="K404" s="4">
        <f t="shared" si="42"/>
        <v>5.2205014291040096E-2</v>
      </c>
      <c r="L404" s="4">
        <f t="shared" si="42"/>
        <v>5.2205014291040096E-2</v>
      </c>
      <c r="M404" s="4">
        <f t="shared" si="42"/>
        <v>5.2205014291040096E-2</v>
      </c>
      <c r="N404" t="s">
        <v>256</v>
      </c>
      <c r="O404" t="s">
        <v>282</v>
      </c>
      <c r="P404" t="s">
        <v>281</v>
      </c>
      <c r="Q404" t="s">
        <v>245</v>
      </c>
    </row>
    <row r="405" spans="1:17" x14ac:dyDescent="0.25">
      <c r="A405" t="s">
        <v>19</v>
      </c>
      <c r="B405" t="s">
        <v>148</v>
      </c>
      <c r="C405" s="4">
        <f t="shared" ref="C405:M405" si="43" xml:space="preserve"> 0.7*17.4016714303467%</f>
        <v>0.12181170001242689</v>
      </c>
      <c r="D405" s="4">
        <f t="shared" si="43"/>
        <v>0.12181170001242689</v>
      </c>
      <c r="E405" s="4">
        <f t="shared" si="43"/>
        <v>0.12181170001242689</v>
      </c>
      <c r="F405" s="4">
        <f t="shared" si="43"/>
        <v>0.12181170001242689</v>
      </c>
      <c r="G405" s="4">
        <f t="shared" si="43"/>
        <v>0.12181170001242689</v>
      </c>
      <c r="H405" s="4">
        <f t="shared" si="43"/>
        <v>0.12181170001242689</v>
      </c>
      <c r="I405" s="4">
        <f t="shared" si="43"/>
        <v>0.12181170001242689</v>
      </c>
      <c r="J405" s="4">
        <f t="shared" si="43"/>
        <v>0.12181170001242689</v>
      </c>
      <c r="K405" s="4">
        <f t="shared" si="43"/>
        <v>0.12181170001242689</v>
      </c>
      <c r="L405" s="4">
        <f t="shared" si="43"/>
        <v>0.12181170001242689</v>
      </c>
      <c r="M405" s="4">
        <f t="shared" si="43"/>
        <v>0.12181170001242689</v>
      </c>
      <c r="N405" t="s">
        <v>256</v>
      </c>
      <c r="O405" t="s">
        <v>280</v>
      </c>
      <c r="P405" t="s">
        <v>281</v>
      </c>
      <c r="Q405" t="s">
        <v>245</v>
      </c>
    </row>
    <row r="406" spans="1:17" x14ac:dyDescent="0.25">
      <c r="A406" t="s">
        <v>19</v>
      </c>
      <c r="B406" t="s">
        <v>149</v>
      </c>
      <c r="C406" s="4">
        <f t="shared" ref="C406:M406" si="44">0.3*0.776686964085995%</f>
        <v>2.3300608922579851E-3</v>
      </c>
      <c r="D406" s="4">
        <f t="shared" si="44"/>
        <v>2.3300608922579851E-3</v>
      </c>
      <c r="E406" s="4">
        <f t="shared" si="44"/>
        <v>2.3300608922579851E-3</v>
      </c>
      <c r="F406" s="4">
        <f t="shared" si="44"/>
        <v>2.3300608922579851E-3</v>
      </c>
      <c r="G406" s="4">
        <f t="shared" si="44"/>
        <v>2.3300608922579851E-3</v>
      </c>
      <c r="H406" s="4">
        <f t="shared" si="44"/>
        <v>2.3300608922579851E-3</v>
      </c>
      <c r="I406" s="4">
        <f t="shared" si="44"/>
        <v>2.3300608922579851E-3</v>
      </c>
      <c r="J406" s="4">
        <f t="shared" si="44"/>
        <v>2.3300608922579851E-3</v>
      </c>
      <c r="K406" s="4">
        <f t="shared" si="44"/>
        <v>2.3300608922579851E-3</v>
      </c>
      <c r="L406" s="4">
        <f t="shared" si="44"/>
        <v>2.3300608922579851E-3</v>
      </c>
      <c r="M406" s="4">
        <f t="shared" si="44"/>
        <v>2.3300608922579851E-3</v>
      </c>
      <c r="N406" t="s">
        <v>256</v>
      </c>
      <c r="O406" t="s">
        <v>282</v>
      </c>
      <c r="P406" t="s">
        <v>281</v>
      </c>
      <c r="Q406" t="s">
        <v>245</v>
      </c>
    </row>
    <row r="407" spans="1:17" x14ac:dyDescent="0.25">
      <c r="A407" t="s">
        <v>19</v>
      </c>
      <c r="B407" t="s">
        <v>149</v>
      </c>
      <c r="C407" s="4">
        <f t="shared" ref="C407:M407" si="45" xml:space="preserve"> 0.7*0.776686964085995%</f>
        <v>5.4368087486019647E-3</v>
      </c>
      <c r="D407" s="4">
        <f t="shared" si="45"/>
        <v>5.4368087486019647E-3</v>
      </c>
      <c r="E407" s="4">
        <f t="shared" si="45"/>
        <v>5.4368087486019647E-3</v>
      </c>
      <c r="F407" s="4">
        <f t="shared" si="45"/>
        <v>5.4368087486019647E-3</v>
      </c>
      <c r="G407" s="4">
        <f t="shared" si="45"/>
        <v>5.4368087486019647E-3</v>
      </c>
      <c r="H407" s="4">
        <f t="shared" si="45"/>
        <v>5.4368087486019647E-3</v>
      </c>
      <c r="I407" s="4">
        <f t="shared" si="45"/>
        <v>5.4368087486019647E-3</v>
      </c>
      <c r="J407" s="4">
        <f t="shared" si="45"/>
        <v>5.4368087486019647E-3</v>
      </c>
      <c r="K407" s="4">
        <f t="shared" si="45"/>
        <v>5.4368087486019647E-3</v>
      </c>
      <c r="L407" s="4">
        <f t="shared" si="45"/>
        <v>5.4368087486019647E-3</v>
      </c>
      <c r="M407" s="4">
        <f t="shared" si="45"/>
        <v>5.4368087486019647E-3</v>
      </c>
      <c r="N407" t="s">
        <v>256</v>
      </c>
      <c r="O407" t="s">
        <v>280</v>
      </c>
      <c r="P407" t="s">
        <v>281</v>
      </c>
      <c r="Q407" t="s">
        <v>245</v>
      </c>
    </row>
    <row r="408" spans="1:17" x14ac:dyDescent="0.25">
      <c r="A408" t="s">
        <v>19</v>
      </c>
      <c r="B408" t="s">
        <v>150</v>
      </c>
      <c r="C408" s="4">
        <f t="shared" ref="C408:M408" si="46">0.3*4.21741021498695%</f>
        <v>1.2652230644960851E-2</v>
      </c>
      <c r="D408" s="4">
        <f t="shared" si="46"/>
        <v>1.2652230644960851E-2</v>
      </c>
      <c r="E408" s="4">
        <f t="shared" si="46"/>
        <v>1.2652230644960851E-2</v>
      </c>
      <c r="F408" s="4">
        <f t="shared" si="46"/>
        <v>1.2652230644960851E-2</v>
      </c>
      <c r="G408" s="4">
        <f t="shared" si="46"/>
        <v>1.2652230644960851E-2</v>
      </c>
      <c r="H408" s="4">
        <f t="shared" si="46"/>
        <v>1.2652230644960851E-2</v>
      </c>
      <c r="I408" s="4">
        <f t="shared" si="46"/>
        <v>1.2652230644960851E-2</v>
      </c>
      <c r="J408" s="4">
        <f t="shared" si="46"/>
        <v>1.2652230644960851E-2</v>
      </c>
      <c r="K408" s="4">
        <f t="shared" si="46"/>
        <v>1.2652230644960851E-2</v>
      </c>
      <c r="L408" s="4">
        <f t="shared" si="46"/>
        <v>1.2652230644960851E-2</v>
      </c>
      <c r="M408" s="4">
        <f t="shared" si="46"/>
        <v>1.2652230644960851E-2</v>
      </c>
      <c r="N408" t="s">
        <v>256</v>
      </c>
      <c r="O408" t="s">
        <v>282</v>
      </c>
      <c r="P408" t="s">
        <v>281</v>
      </c>
      <c r="Q408" t="s">
        <v>245</v>
      </c>
    </row>
    <row r="409" spans="1:17" x14ac:dyDescent="0.25">
      <c r="A409" t="s">
        <v>19</v>
      </c>
      <c r="B409" t="s">
        <v>150</v>
      </c>
      <c r="C409" s="4">
        <f t="shared" ref="C409:M409" si="47" xml:space="preserve"> 0.7*4.21741021498695%</f>
        <v>2.9521871504908651E-2</v>
      </c>
      <c r="D409" s="4">
        <f t="shared" si="47"/>
        <v>2.9521871504908651E-2</v>
      </c>
      <c r="E409" s="4">
        <f t="shared" si="47"/>
        <v>2.9521871504908651E-2</v>
      </c>
      <c r="F409" s="4">
        <f t="shared" si="47"/>
        <v>2.9521871504908651E-2</v>
      </c>
      <c r="G409" s="4">
        <f t="shared" si="47"/>
        <v>2.9521871504908651E-2</v>
      </c>
      <c r="H409" s="4">
        <f t="shared" si="47"/>
        <v>2.9521871504908651E-2</v>
      </c>
      <c r="I409" s="4">
        <f t="shared" si="47"/>
        <v>2.9521871504908651E-2</v>
      </c>
      <c r="J409" s="4">
        <f t="shared" si="47"/>
        <v>2.9521871504908651E-2</v>
      </c>
      <c r="K409" s="4">
        <f t="shared" si="47"/>
        <v>2.9521871504908651E-2</v>
      </c>
      <c r="L409" s="4">
        <f t="shared" si="47"/>
        <v>2.9521871504908651E-2</v>
      </c>
      <c r="M409" s="4">
        <f t="shared" si="47"/>
        <v>2.9521871504908651E-2</v>
      </c>
      <c r="N409" t="s">
        <v>256</v>
      </c>
      <c r="O409" t="s">
        <v>280</v>
      </c>
      <c r="P409" t="s">
        <v>281</v>
      </c>
      <c r="Q409" t="s">
        <v>245</v>
      </c>
    </row>
    <row r="410" spans="1:17" x14ac:dyDescent="0.25">
      <c r="A410" t="s">
        <v>19</v>
      </c>
      <c r="B410" t="s">
        <v>130</v>
      </c>
      <c r="C410" s="4">
        <f t="shared" ref="C410:M410" si="48">0.3*3.57276003479558%</f>
        <v>1.0718280104386741E-2</v>
      </c>
      <c r="D410" s="4">
        <f t="shared" si="48"/>
        <v>1.0718280104386741E-2</v>
      </c>
      <c r="E410" s="4">
        <f t="shared" si="48"/>
        <v>1.0718280104386741E-2</v>
      </c>
      <c r="F410" s="4">
        <f t="shared" si="48"/>
        <v>1.0718280104386741E-2</v>
      </c>
      <c r="G410" s="4">
        <f t="shared" si="48"/>
        <v>1.0718280104386741E-2</v>
      </c>
      <c r="H410" s="4">
        <f t="shared" si="48"/>
        <v>1.0718280104386741E-2</v>
      </c>
      <c r="I410" s="4">
        <f t="shared" si="48"/>
        <v>1.0718280104386741E-2</v>
      </c>
      <c r="J410" s="4">
        <f t="shared" si="48"/>
        <v>1.0718280104386741E-2</v>
      </c>
      <c r="K410" s="4">
        <f t="shared" si="48"/>
        <v>1.0718280104386741E-2</v>
      </c>
      <c r="L410" s="4">
        <f t="shared" si="48"/>
        <v>1.0718280104386741E-2</v>
      </c>
      <c r="M410" s="4">
        <f t="shared" si="48"/>
        <v>1.0718280104386741E-2</v>
      </c>
      <c r="N410" t="s">
        <v>256</v>
      </c>
      <c r="O410" t="s">
        <v>282</v>
      </c>
      <c r="P410" t="s">
        <v>281</v>
      </c>
      <c r="Q410" t="s">
        <v>245</v>
      </c>
    </row>
    <row r="411" spans="1:17" x14ac:dyDescent="0.25">
      <c r="A411" t="s">
        <v>19</v>
      </c>
      <c r="B411" t="s">
        <v>130</v>
      </c>
      <c r="C411" s="4">
        <f t="shared" ref="C411:M411" si="49" xml:space="preserve"> 0.7*3.57276003479558%</f>
        <v>2.5009320243569059E-2</v>
      </c>
      <c r="D411" s="4">
        <f t="shared" si="49"/>
        <v>2.5009320243569059E-2</v>
      </c>
      <c r="E411" s="4">
        <f t="shared" si="49"/>
        <v>2.5009320243569059E-2</v>
      </c>
      <c r="F411" s="4">
        <f t="shared" si="49"/>
        <v>2.5009320243569059E-2</v>
      </c>
      <c r="G411" s="4">
        <f t="shared" si="49"/>
        <v>2.5009320243569059E-2</v>
      </c>
      <c r="H411" s="4">
        <f t="shared" si="49"/>
        <v>2.5009320243569059E-2</v>
      </c>
      <c r="I411" s="4">
        <f t="shared" si="49"/>
        <v>2.5009320243569059E-2</v>
      </c>
      <c r="J411" s="4">
        <f t="shared" si="49"/>
        <v>2.5009320243569059E-2</v>
      </c>
      <c r="K411" s="4">
        <f t="shared" si="49"/>
        <v>2.5009320243569059E-2</v>
      </c>
      <c r="L411" s="4">
        <f t="shared" si="49"/>
        <v>2.5009320243569059E-2</v>
      </c>
      <c r="M411" s="4">
        <f t="shared" si="49"/>
        <v>2.5009320243569059E-2</v>
      </c>
      <c r="N411" t="s">
        <v>256</v>
      </c>
      <c r="O411" t="s">
        <v>280</v>
      </c>
      <c r="P411" t="s">
        <v>281</v>
      </c>
      <c r="Q411" t="s">
        <v>245</v>
      </c>
    </row>
    <row r="412" spans="1:17" x14ac:dyDescent="0.25">
      <c r="A412" t="s">
        <v>19</v>
      </c>
      <c r="B412" t="s">
        <v>132</v>
      </c>
      <c r="C412" s="4">
        <f t="shared" ref="C412:M412" si="50">0.3*1.46483161426619%</f>
        <v>4.3944948427985693E-3</v>
      </c>
      <c r="D412" s="4">
        <f t="shared" si="50"/>
        <v>4.3944948427985693E-3</v>
      </c>
      <c r="E412" s="4">
        <f t="shared" si="50"/>
        <v>4.3944948427985693E-3</v>
      </c>
      <c r="F412" s="4">
        <f t="shared" si="50"/>
        <v>4.3944948427985693E-3</v>
      </c>
      <c r="G412" s="4">
        <f t="shared" si="50"/>
        <v>4.3944948427985693E-3</v>
      </c>
      <c r="H412" s="4">
        <f t="shared" si="50"/>
        <v>4.3944948427985693E-3</v>
      </c>
      <c r="I412" s="4">
        <f t="shared" si="50"/>
        <v>4.3944948427985693E-3</v>
      </c>
      <c r="J412" s="4">
        <f t="shared" si="50"/>
        <v>4.3944948427985693E-3</v>
      </c>
      <c r="K412" s="4">
        <f t="shared" si="50"/>
        <v>4.3944948427985693E-3</v>
      </c>
      <c r="L412" s="4">
        <f t="shared" si="50"/>
        <v>4.3944948427985693E-3</v>
      </c>
      <c r="M412" s="4">
        <f t="shared" si="50"/>
        <v>4.3944948427985693E-3</v>
      </c>
      <c r="N412" t="s">
        <v>256</v>
      </c>
      <c r="O412" t="s">
        <v>282</v>
      </c>
      <c r="P412" t="s">
        <v>281</v>
      </c>
      <c r="Q412" t="s">
        <v>245</v>
      </c>
    </row>
    <row r="413" spans="1:17" x14ac:dyDescent="0.25">
      <c r="A413" t="s">
        <v>19</v>
      </c>
      <c r="B413" t="s">
        <v>132</v>
      </c>
      <c r="C413" s="4">
        <f t="shared" ref="C413:M413" si="51" xml:space="preserve"> 0.7*1.46483161426619%</f>
        <v>1.0253821299863328E-2</v>
      </c>
      <c r="D413" s="4">
        <f t="shared" si="51"/>
        <v>1.0253821299863328E-2</v>
      </c>
      <c r="E413" s="4">
        <f t="shared" si="51"/>
        <v>1.0253821299863328E-2</v>
      </c>
      <c r="F413" s="4">
        <f t="shared" si="51"/>
        <v>1.0253821299863328E-2</v>
      </c>
      <c r="G413" s="4">
        <f t="shared" si="51"/>
        <v>1.0253821299863328E-2</v>
      </c>
      <c r="H413" s="4">
        <f t="shared" si="51"/>
        <v>1.0253821299863328E-2</v>
      </c>
      <c r="I413" s="4">
        <f t="shared" si="51"/>
        <v>1.0253821299863328E-2</v>
      </c>
      <c r="J413" s="4">
        <f t="shared" si="51"/>
        <v>1.0253821299863328E-2</v>
      </c>
      <c r="K413" s="4">
        <f t="shared" si="51"/>
        <v>1.0253821299863328E-2</v>
      </c>
      <c r="L413" s="4">
        <f t="shared" si="51"/>
        <v>1.0253821299863328E-2</v>
      </c>
      <c r="M413" s="4">
        <f t="shared" si="51"/>
        <v>1.0253821299863328E-2</v>
      </c>
      <c r="N413" t="s">
        <v>256</v>
      </c>
      <c r="O413" t="s">
        <v>280</v>
      </c>
      <c r="P413" t="s">
        <v>281</v>
      </c>
      <c r="Q413" t="s">
        <v>245</v>
      </c>
    </row>
    <row r="414" spans="1:17" x14ac:dyDescent="0.25">
      <c r="A414" t="s">
        <v>19</v>
      </c>
      <c r="B414" t="s">
        <v>146</v>
      </c>
      <c r="C414" s="4">
        <f t="shared" ref="C414:M414" si="52">0.3*2.56306698148378%</f>
        <v>7.6892009444513394E-3</v>
      </c>
      <c r="D414" s="4">
        <f t="shared" si="52"/>
        <v>7.6892009444513394E-3</v>
      </c>
      <c r="E414" s="4">
        <f t="shared" si="52"/>
        <v>7.6892009444513394E-3</v>
      </c>
      <c r="F414" s="4">
        <f t="shared" si="52"/>
        <v>7.6892009444513394E-3</v>
      </c>
      <c r="G414" s="4">
        <f t="shared" si="52"/>
        <v>7.6892009444513394E-3</v>
      </c>
      <c r="H414" s="4">
        <f t="shared" si="52"/>
        <v>7.6892009444513394E-3</v>
      </c>
      <c r="I414" s="4">
        <f t="shared" si="52"/>
        <v>7.6892009444513394E-3</v>
      </c>
      <c r="J414" s="4">
        <f t="shared" si="52"/>
        <v>7.6892009444513394E-3</v>
      </c>
      <c r="K414" s="4">
        <f t="shared" si="52"/>
        <v>7.6892009444513394E-3</v>
      </c>
      <c r="L414" s="4">
        <f t="shared" si="52"/>
        <v>7.6892009444513394E-3</v>
      </c>
      <c r="M414" s="4">
        <f t="shared" si="52"/>
        <v>7.6892009444513394E-3</v>
      </c>
      <c r="N414" t="s">
        <v>256</v>
      </c>
      <c r="O414" t="s">
        <v>282</v>
      </c>
      <c r="P414" t="s">
        <v>281</v>
      </c>
      <c r="Q414" t="s">
        <v>245</v>
      </c>
    </row>
    <row r="415" spans="1:17" x14ac:dyDescent="0.25">
      <c r="A415" t="s">
        <v>19</v>
      </c>
      <c r="B415" t="s">
        <v>146</v>
      </c>
      <c r="C415" s="4">
        <f t="shared" ref="C415:M415" si="53" xml:space="preserve"> 0.7*2.56306698148378%</f>
        <v>1.7941468870386459E-2</v>
      </c>
      <c r="D415" s="4">
        <f t="shared" si="53"/>
        <v>1.7941468870386459E-2</v>
      </c>
      <c r="E415" s="4">
        <f t="shared" si="53"/>
        <v>1.7941468870386459E-2</v>
      </c>
      <c r="F415" s="4">
        <f t="shared" si="53"/>
        <v>1.7941468870386459E-2</v>
      </c>
      <c r="G415" s="4">
        <f t="shared" si="53"/>
        <v>1.7941468870386459E-2</v>
      </c>
      <c r="H415" s="4">
        <f t="shared" si="53"/>
        <v>1.7941468870386459E-2</v>
      </c>
      <c r="I415" s="4">
        <f t="shared" si="53"/>
        <v>1.7941468870386459E-2</v>
      </c>
      <c r="J415" s="4">
        <f t="shared" si="53"/>
        <v>1.7941468870386459E-2</v>
      </c>
      <c r="K415" s="4">
        <f t="shared" si="53"/>
        <v>1.7941468870386459E-2</v>
      </c>
      <c r="L415" s="4">
        <f t="shared" si="53"/>
        <v>1.7941468870386459E-2</v>
      </c>
      <c r="M415" s="4">
        <f t="shared" si="53"/>
        <v>1.7941468870386459E-2</v>
      </c>
      <c r="N415" t="s">
        <v>256</v>
      </c>
      <c r="O415" t="s">
        <v>280</v>
      </c>
      <c r="P415" t="s">
        <v>281</v>
      </c>
      <c r="Q415" t="s">
        <v>245</v>
      </c>
    </row>
    <row r="416" spans="1:17" x14ac:dyDescent="0.25">
      <c r="A416" t="s">
        <v>19</v>
      </c>
      <c r="B416" t="s">
        <v>151</v>
      </c>
      <c r="C416" s="4">
        <f t="shared" ref="C416:M416" si="54">0.3*0.693581458928793%</f>
        <v>2.0807443767863788E-3</v>
      </c>
      <c r="D416" s="4">
        <f t="shared" si="54"/>
        <v>2.0807443767863788E-3</v>
      </c>
      <c r="E416" s="4">
        <f t="shared" si="54"/>
        <v>2.0807443767863788E-3</v>
      </c>
      <c r="F416" s="4">
        <f t="shared" si="54"/>
        <v>2.0807443767863788E-3</v>
      </c>
      <c r="G416" s="4">
        <f t="shared" si="54"/>
        <v>2.0807443767863788E-3</v>
      </c>
      <c r="H416" s="4">
        <f t="shared" si="54"/>
        <v>2.0807443767863788E-3</v>
      </c>
      <c r="I416" s="4">
        <f t="shared" si="54"/>
        <v>2.0807443767863788E-3</v>
      </c>
      <c r="J416" s="4">
        <f t="shared" si="54"/>
        <v>2.0807443767863788E-3</v>
      </c>
      <c r="K416" s="4">
        <f t="shared" si="54"/>
        <v>2.0807443767863788E-3</v>
      </c>
      <c r="L416" s="4">
        <f t="shared" si="54"/>
        <v>2.0807443767863788E-3</v>
      </c>
      <c r="M416" s="4">
        <f t="shared" si="54"/>
        <v>2.0807443767863788E-3</v>
      </c>
      <c r="N416" t="s">
        <v>256</v>
      </c>
      <c r="O416" t="s">
        <v>282</v>
      </c>
      <c r="P416" t="s">
        <v>281</v>
      </c>
      <c r="Q416" t="s">
        <v>245</v>
      </c>
    </row>
    <row r="417" spans="1:18" x14ac:dyDescent="0.25">
      <c r="A417" t="s">
        <v>19</v>
      </c>
      <c r="B417" t="s">
        <v>151</v>
      </c>
      <c r="C417" s="4">
        <f t="shared" ref="C417:M417" si="55" xml:space="preserve"> 0.7*0.693581458928793%</f>
        <v>4.8550702125015506E-3</v>
      </c>
      <c r="D417" s="4">
        <f t="shared" si="55"/>
        <v>4.8550702125015506E-3</v>
      </c>
      <c r="E417" s="4">
        <f t="shared" si="55"/>
        <v>4.8550702125015506E-3</v>
      </c>
      <c r="F417" s="4">
        <f t="shared" si="55"/>
        <v>4.8550702125015506E-3</v>
      </c>
      <c r="G417" s="4">
        <f t="shared" si="55"/>
        <v>4.8550702125015506E-3</v>
      </c>
      <c r="H417" s="4">
        <f t="shared" si="55"/>
        <v>4.8550702125015506E-3</v>
      </c>
      <c r="I417" s="4">
        <f t="shared" si="55"/>
        <v>4.8550702125015506E-3</v>
      </c>
      <c r="J417" s="4">
        <f t="shared" si="55"/>
        <v>4.8550702125015506E-3</v>
      </c>
      <c r="K417" s="4">
        <f t="shared" si="55"/>
        <v>4.8550702125015506E-3</v>
      </c>
      <c r="L417" s="4">
        <f t="shared" si="55"/>
        <v>4.8550702125015506E-3</v>
      </c>
      <c r="M417" s="4">
        <f t="shared" si="55"/>
        <v>4.8550702125015506E-3</v>
      </c>
      <c r="N417" t="s">
        <v>256</v>
      </c>
      <c r="O417" t="s">
        <v>280</v>
      </c>
      <c r="P417" t="s">
        <v>281</v>
      </c>
      <c r="Q417" t="s">
        <v>245</v>
      </c>
    </row>
    <row r="418" spans="1:18" x14ac:dyDescent="0.25">
      <c r="A418" t="s">
        <v>19</v>
      </c>
      <c r="B418" t="s">
        <v>107</v>
      </c>
      <c r="C418" s="4">
        <f t="shared" ref="C418:M418" si="56">0.3*5.28147135578476%</f>
        <v>1.5844414067354276E-2</v>
      </c>
      <c r="D418" s="4">
        <f t="shared" si="56"/>
        <v>1.5844414067354276E-2</v>
      </c>
      <c r="E418" s="4">
        <f t="shared" si="56"/>
        <v>1.5844414067354276E-2</v>
      </c>
      <c r="F418" s="4">
        <f t="shared" si="56"/>
        <v>1.5844414067354276E-2</v>
      </c>
      <c r="G418" s="4">
        <f t="shared" si="56"/>
        <v>1.5844414067354276E-2</v>
      </c>
      <c r="H418" s="4">
        <f t="shared" si="56"/>
        <v>1.5844414067354276E-2</v>
      </c>
      <c r="I418" s="4">
        <f t="shared" si="56"/>
        <v>1.5844414067354276E-2</v>
      </c>
      <c r="J418" s="4">
        <f t="shared" si="56"/>
        <v>1.5844414067354276E-2</v>
      </c>
      <c r="K418" s="4">
        <f t="shared" si="56"/>
        <v>1.5844414067354276E-2</v>
      </c>
      <c r="L418" s="4">
        <f t="shared" si="56"/>
        <v>1.5844414067354276E-2</v>
      </c>
      <c r="M418" s="4">
        <f t="shared" si="56"/>
        <v>1.5844414067354276E-2</v>
      </c>
      <c r="N418" t="s">
        <v>256</v>
      </c>
      <c r="O418" t="s">
        <v>282</v>
      </c>
      <c r="P418" t="s">
        <v>281</v>
      </c>
      <c r="Q418" t="s">
        <v>245</v>
      </c>
    </row>
    <row r="419" spans="1:18" x14ac:dyDescent="0.25">
      <c r="A419" t="s">
        <v>19</v>
      </c>
      <c r="B419" t="s">
        <v>107</v>
      </c>
      <c r="C419" s="4">
        <f t="shared" ref="C419:M419" si="57" xml:space="preserve"> 0.7*5.28147135578476%</f>
        <v>3.6970299490493311E-2</v>
      </c>
      <c r="D419" s="4">
        <f t="shared" si="57"/>
        <v>3.6970299490493311E-2</v>
      </c>
      <c r="E419" s="4">
        <f t="shared" si="57"/>
        <v>3.6970299490493311E-2</v>
      </c>
      <c r="F419" s="4">
        <f t="shared" si="57"/>
        <v>3.6970299490493311E-2</v>
      </c>
      <c r="G419" s="4">
        <f t="shared" si="57"/>
        <v>3.6970299490493311E-2</v>
      </c>
      <c r="H419" s="4">
        <f t="shared" si="57"/>
        <v>3.6970299490493311E-2</v>
      </c>
      <c r="I419" s="4">
        <f t="shared" si="57"/>
        <v>3.6970299490493311E-2</v>
      </c>
      <c r="J419" s="4">
        <f t="shared" si="57"/>
        <v>3.6970299490493311E-2</v>
      </c>
      <c r="K419" s="4">
        <f t="shared" si="57"/>
        <v>3.6970299490493311E-2</v>
      </c>
      <c r="L419" s="4">
        <f t="shared" si="57"/>
        <v>3.6970299490493311E-2</v>
      </c>
      <c r="M419" s="4">
        <f t="shared" si="57"/>
        <v>3.6970299490493311E-2</v>
      </c>
      <c r="N419" t="s">
        <v>256</v>
      </c>
      <c r="O419" t="s">
        <v>280</v>
      </c>
      <c r="P419" t="s">
        <v>281</v>
      </c>
      <c r="Q419" t="s">
        <v>245</v>
      </c>
    </row>
    <row r="420" spans="1:18" x14ac:dyDescent="0.25">
      <c r="A420" t="s">
        <v>19</v>
      </c>
      <c r="B420" t="s">
        <v>113</v>
      </c>
      <c r="C420" s="4">
        <f t="shared" ref="C420:M420" si="58">0.3*2.13588915123649%</f>
        <v>6.4076674537094707E-3</v>
      </c>
      <c r="D420" s="4">
        <f t="shared" si="58"/>
        <v>6.4076674537094707E-3</v>
      </c>
      <c r="E420" s="4">
        <f t="shared" si="58"/>
        <v>6.4076674537094707E-3</v>
      </c>
      <c r="F420" s="4">
        <f t="shared" si="58"/>
        <v>6.4076674537094707E-3</v>
      </c>
      <c r="G420" s="4">
        <f t="shared" si="58"/>
        <v>6.4076674537094707E-3</v>
      </c>
      <c r="H420" s="4">
        <f t="shared" si="58"/>
        <v>6.4076674537094707E-3</v>
      </c>
      <c r="I420" s="4">
        <f t="shared" si="58"/>
        <v>6.4076674537094707E-3</v>
      </c>
      <c r="J420" s="4">
        <f t="shared" si="58"/>
        <v>6.4076674537094707E-3</v>
      </c>
      <c r="K420" s="4">
        <f t="shared" si="58"/>
        <v>6.4076674537094707E-3</v>
      </c>
      <c r="L420" s="4">
        <f t="shared" si="58"/>
        <v>6.4076674537094707E-3</v>
      </c>
      <c r="M420" s="4">
        <f t="shared" si="58"/>
        <v>6.4076674537094707E-3</v>
      </c>
      <c r="N420" t="s">
        <v>256</v>
      </c>
      <c r="O420" t="s">
        <v>282</v>
      </c>
      <c r="P420" t="s">
        <v>281</v>
      </c>
      <c r="Q420" t="s">
        <v>245</v>
      </c>
    </row>
    <row r="421" spans="1:18" x14ac:dyDescent="0.25">
      <c r="A421" t="s">
        <v>19</v>
      </c>
      <c r="B421" t="s">
        <v>113</v>
      </c>
      <c r="C421" s="4">
        <f t="shared" ref="C421:M421" si="59" xml:space="preserve"> 0.7*2.13588915123649%</f>
        <v>1.495122405865543E-2</v>
      </c>
      <c r="D421" s="4">
        <f t="shared" si="59"/>
        <v>1.495122405865543E-2</v>
      </c>
      <c r="E421" s="4">
        <f t="shared" si="59"/>
        <v>1.495122405865543E-2</v>
      </c>
      <c r="F421" s="4">
        <f t="shared" si="59"/>
        <v>1.495122405865543E-2</v>
      </c>
      <c r="G421" s="4">
        <f t="shared" si="59"/>
        <v>1.495122405865543E-2</v>
      </c>
      <c r="H421" s="4">
        <f t="shared" si="59"/>
        <v>1.495122405865543E-2</v>
      </c>
      <c r="I421" s="4">
        <f t="shared" si="59"/>
        <v>1.495122405865543E-2</v>
      </c>
      <c r="J421" s="4">
        <f t="shared" si="59"/>
        <v>1.495122405865543E-2</v>
      </c>
      <c r="K421" s="4">
        <f t="shared" si="59"/>
        <v>1.495122405865543E-2</v>
      </c>
      <c r="L421" s="4">
        <f t="shared" si="59"/>
        <v>1.495122405865543E-2</v>
      </c>
      <c r="M421" s="4">
        <f t="shared" si="59"/>
        <v>1.495122405865543E-2</v>
      </c>
      <c r="N421" t="s">
        <v>256</v>
      </c>
      <c r="O421" t="s">
        <v>280</v>
      </c>
      <c r="P421" t="s">
        <v>281</v>
      </c>
      <c r="Q421" t="s">
        <v>245</v>
      </c>
    </row>
    <row r="422" spans="1:18" x14ac:dyDescent="0.25">
      <c r="A422" t="s">
        <v>285</v>
      </c>
      <c r="B422" t="s">
        <v>152</v>
      </c>
      <c r="C422" s="4">
        <v>1.2629649451162799E-4</v>
      </c>
      <c r="D422" s="4">
        <v>1.2629649451162799E-4</v>
      </c>
      <c r="E422" s="4">
        <v>1.2629649451162799E-4</v>
      </c>
      <c r="F422" s="4">
        <v>1.2629649451162799E-4</v>
      </c>
      <c r="G422" s="4">
        <v>1.2629649451162799E-4</v>
      </c>
      <c r="H422" s="4">
        <v>1.2629649451162799E-4</v>
      </c>
      <c r="I422" s="4">
        <v>1.2629649451162799E-4</v>
      </c>
      <c r="J422" s="4">
        <v>1.2629649451162799E-4</v>
      </c>
      <c r="K422" s="4">
        <v>1.2629649451162799E-4</v>
      </c>
      <c r="L422" s="4">
        <v>1.2629649451162799E-4</v>
      </c>
      <c r="M422" s="4">
        <v>1.2629649451162799E-4</v>
      </c>
      <c r="N422" t="s">
        <v>256</v>
      </c>
      <c r="O422" t="s">
        <v>284</v>
      </c>
      <c r="P422" t="s">
        <v>285</v>
      </c>
      <c r="Q422" t="s">
        <v>245</v>
      </c>
      <c r="R422" t="s">
        <v>556</v>
      </c>
    </row>
    <row r="423" spans="1:18" x14ac:dyDescent="0.25">
      <c r="A423" t="s">
        <v>285</v>
      </c>
      <c r="B423" t="s">
        <v>153</v>
      </c>
      <c r="C423" s="4">
        <v>2.5924519761167591E-2</v>
      </c>
      <c r="D423" s="4">
        <v>2.5924519761167591E-2</v>
      </c>
      <c r="E423" s="4">
        <v>2.5924519761167591E-2</v>
      </c>
      <c r="F423" s="4">
        <v>2.5924519761167591E-2</v>
      </c>
      <c r="G423" s="4">
        <v>2.5924519761167591E-2</v>
      </c>
      <c r="H423" s="4">
        <v>2.5924519761167591E-2</v>
      </c>
      <c r="I423" s="4">
        <v>2.5924519761167591E-2</v>
      </c>
      <c r="J423" s="4">
        <v>2.5924519761167591E-2</v>
      </c>
      <c r="K423" s="4">
        <v>2.5924519761167591E-2</v>
      </c>
      <c r="L423" s="4">
        <v>2.5924519761167591E-2</v>
      </c>
      <c r="M423" s="4">
        <v>2.5924519761167591E-2</v>
      </c>
      <c r="N423" t="s">
        <v>256</v>
      </c>
      <c r="O423" t="s">
        <v>284</v>
      </c>
      <c r="P423" t="s">
        <v>285</v>
      </c>
      <c r="Q423" t="s">
        <v>245</v>
      </c>
    </row>
    <row r="424" spans="1:18" x14ac:dyDescent="0.25">
      <c r="A424" t="s">
        <v>285</v>
      </c>
      <c r="B424" t="s">
        <v>85</v>
      </c>
      <c r="C424" s="4">
        <v>6.2631579778266409E-3</v>
      </c>
      <c r="D424" s="4">
        <v>6.2631579778266409E-3</v>
      </c>
      <c r="E424" s="4">
        <v>6.2631579778266409E-3</v>
      </c>
      <c r="F424" s="4">
        <v>6.2631579778266409E-3</v>
      </c>
      <c r="G424" s="4">
        <v>6.2631579778266409E-3</v>
      </c>
      <c r="H424" s="4">
        <v>6.2631579778266409E-3</v>
      </c>
      <c r="I424" s="4">
        <v>6.2631579778266409E-3</v>
      </c>
      <c r="J424" s="4">
        <v>6.2631579778266409E-3</v>
      </c>
      <c r="K424" s="4">
        <v>6.2631579778266409E-3</v>
      </c>
      <c r="L424" s="4">
        <v>6.2631579778266409E-3</v>
      </c>
      <c r="M424" s="4">
        <v>6.2631579778266409E-3</v>
      </c>
      <c r="N424" t="s">
        <v>256</v>
      </c>
      <c r="O424" t="s">
        <v>284</v>
      </c>
      <c r="P424" t="s">
        <v>285</v>
      </c>
      <c r="Q424" t="s">
        <v>245</v>
      </c>
    </row>
    <row r="425" spans="1:18" x14ac:dyDescent="0.25">
      <c r="A425" t="s">
        <v>285</v>
      </c>
      <c r="B425" t="s">
        <v>86</v>
      </c>
      <c r="C425" s="4">
        <v>8.6111246257928155E-4</v>
      </c>
      <c r="D425" s="4">
        <v>8.6111246257928155E-4</v>
      </c>
      <c r="E425" s="4">
        <v>8.6111246257928155E-4</v>
      </c>
      <c r="F425" s="4">
        <v>8.6111246257928155E-4</v>
      </c>
      <c r="G425" s="4">
        <v>8.6111246257928155E-4</v>
      </c>
      <c r="H425" s="4">
        <v>8.6111246257928155E-4</v>
      </c>
      <c r="I425" s="4">
        <v>8.6111246257928155E-4</v>
      </c>
      <c r="J425" s="4">
        <v>8.6111246257928155E-4</v>
      </c>
      <c r="K425" s="4">
        <v>8.6111246257928155E-4</v>
      </c>
      <c r="L425" s="4">
        <v>8.6111246257928155E-4</v>
      </c>
      <c r="M425" s="4">
        <v>8.6111246257928155E-4</v>
      </c>
      <c r="N425" t="s">
        <v>256</v>
      </c>
      <c r="O425" t="s">
        <v>284</v>
      </c>
      <c r="P425" t="s">
        <v>285</v>
      </c>
      <c r="Q425" t="s">
        <v>245</v>
      </c>
    </row>
    <row r="426" spans="1:18" x14ac:dyDescent="0.25">
      <c r="A426" t="s">
        <v>285</v>
      </c>
      <c r="B426" t="s">
        <v>87</v>
      </c>
      <c r="C426" s="4">
        <v>3.4444498503171261E-7</v>
      </c>
      <c r="D426" s="4">
        <v>3.4444498503171261E-7</v>
      </c>
      <c r="E426" s="4">
        <v>3.4444498503171261E-7</v>
      </c>
      <c r="F426" s="4">
        <v>3.4444498503171261E-7</v>
      </c>
      <c r="G426" s="4">
        <v>3.4444498503171261E-7</v>
      </c>
      <c r="H426" s="4">
        <v>3.4444498503171261E-7</v>
      </c>
      <c r="I426" s="4">
        <v>3.4444498503171261E-7</v>
      </c>
      <c r="J426" s="4">
        <v>3.4444498503171261E-7</v>
      </c>
      <c r="K426" s="4">
        <v>3.4444498503171261E-7</v>
      </c>
      <c r="L426" s="4">
        <v>3.4444498503171261E-7</v>
      </c>
      <c r="M426" s="4">
        <v>3.4444498503171261E-7</v>
      </c>
      <c r="N426" t="s">
        <v>256</v>
      </c>
      <c r="O426" t="s">
        <v>284</v>
      </c>
      <c r="P426" t="s">
        <v>285</v>
      </c>
      <c r="Q426" t="s">
        <v>245</v>
      </c>
    </row>
    <row r="427" spans="1:18" x14ac:dyDescent="0.25">
      <c r="A427" t="s">
        <v>285</v>
      </c>
      <c r="B427" t="s">
        <v>154</v>
      </c>
      <c r="C427" s="4">
        <v>3.1733992026959708E-2</v>
      </c>
      <c r="D427" s="4">
        <v>3.1733992026959708E-2</v>
      </c>
      <c r="E427" s="4">
        <v>3.1733992026959708E-2</v>
      </c>
      <c r="F427" s="4">
        <v>3.1733992026959708E-2</v>
      </c>
      <c r="G427" s="4">
        <v>3.1733992026959708E-2</v>
      </c>
      <c r="H427" s="4">
        <v>3.1733992026959708E-2</v>
      </c>
      <c r="I427" s="4">
        <v>3.1733992026959708E-2</v>
      </c>
      <c r="J427" s="4">
        <v>3.1733992026959708E-2</v>
      </c>
      <c r="K427" s="4">
        <v>3.1733992026959708E-2</v>
      </c>
      <c r="L427" s="4">
        <v>3.1733992026959708E-2</v>
      </c>
      <c r="M427" s="4">
        <v>3.1733992026959708E-2</v>
      </c>
      <c r="N427" t="s">
        <v>256</v>
      </c>
      <c r="O427" t="s">
        <v>284</v>
      </c>
      <c r="P427" t="s">
        <v>285</v>
      </c>
      <c r="Q427" t="s">
        <v>245</v>
      </c>
    </row>
    <row r="428" spans="1:18" x14ac:dyDescent="0.25">
      <c r="A428" t="s">
        <v>285</v>
      </c>
      <c r="B428" t="s">
        <v>97</v>
      </c>
      <c r="C428" s="4">
        <v>9.6471927518441802E-2</v>
      </c>
      <c r="D428" s="4">
        <v>9.6471927518441802E-2</v>
      </c>
      <c r="E428" s="4">
        <v>9.6471927518441802E-2</v>
      </c>
      <c r="F428" s="4">
        <v>9.6471927518441802E-2</v>
      </c>
      <c r="G428" s="4">
        <v>9.6471927518441802E-2</v>
      </c>
      <c r="H428" s="4">
        <v>9.6471927518441802E-2</v>
      </c>
      <c r="I428" s="4">
        <v>9.6471927518441802E-2</v>
      </c>
      <c r="J428" s="4">
        <v>9.6471927518441802E-2</v>
      </c>
      <c r="K428" s="4">
        <v>9.6471927518441802E-2</v>
      </c>
      <c r="L428" s="4">
        <v>9.6471927518441802E-2</v>
      </c>
      <c r="M428" s="4">
        <v>9.6471927518441802E-2</v>
      </c>
      <c r="N428" t="s">
        <v>256</v>
      </c>
      <c r="O428" t="s">
        <v>284</v>
      </c>
      <c r="P428" t="s">
        <v>285</v>
      </c>
      <c r="Q428" t="s">
        <v>245</v>
      </c>
    </row>
    <row r="429" spans="1:18" x14ac:dyDescent="0.25">
      <c r="A429" t="s">
        <v>285</v>
      </c>
      <c r="B429" t="s">
        <v>99</v>
      </c>
      <c r="C429" s="4">
        <v>7.5030738126945487E-3</v>
      </c>
      <c r="D429" s="4">
        <v>7.5030738126945487E-3</v>
      </c>
      <c r="E429" s="4">
        <v>7.5030738126945487E-3</v>
      </c>
      <c r="F429" s="4">
        <v>7.5030738126945487E-3</v>
      </c>
      <c r="G429" s="4">
        <v>7.5030738126945487E-3</v>
      </c>
      <c r="H429" s="4">
        <v>7.5030738126945487E-3</v>
      </c>
      <c r="I429" s="4">
        <v>7.5030738126945487E-3</v>
      </c>
      <c r="J429" s="4">
        <v>7.5030738126945487E-3</v>
      </c>
      <c r="K429" s="4">
        <v>7.5030738126945487E-3</v>
      </c>
      <c r="L429" s="4">
        <v>7.5030738126945487E-3</v>
      </c>
      <c r="M429" s="4">
        <v>7.5030738126945487E-3</v>
      </c>
      <c r="N429" t="s">
        <v>256</v>
      </c>
      <c r="O429" t="s">
        <v>284</v>
      </c>
      <c r="P429" t="s">
        <v>285</v>
      </c>
      <c r="Q429" t="s">
        <v>245</v>
      </c>
    </row>
    <row r="430" spans="1:18" x14ac:dyDescent="0.25">
      <c r="A430" t="s">
        <v>285</v>
      </c>
      <c r="B430" t="s">
        <v>102</v>
      </c>
      <c r="C430" s="4">
        <v>0.1879527209072796</v>
      </c>
      <c r="D430" s="4">
        <v>0.1879527209072796</v>
      </c>
      <c r="E430" s="4">
        <v>0.1879527209072796</v>
      </c>
      <c r="F430" s="4">
        <v>0.1879527209072796</v>
      </c>
      <c r="G430" s="4">
        <v>0.1879527209072796</v>
      </c>
      <c r="H430" s="4">
        <v>0.1879527209072796</v>
      </c>
      <c r="I430" s="4">
        <v>0.1879527209072796</v>
      </c>
      <c r="J430" s="4">
        <v>0.1879527209072796</v>
      </c>
      <c r="K430" s="4">
        <v>0.1879527209072796</v>
      </c>
      <c r="L430" s="4">
        <v>0.1879527209072796</v>
      </c>
      <c r="M430" s="4">
        <v>0.1879527209072796</v>
      </c>
      <c r="N430" t="s">
        <v>286</v>
      </c>
      <c r="O430" t="s">
        <v>284</v>
      </c>
      <c r="P430" t="s">
        <v>285</v>
      </c>
      <c r="Q430" t="s">
        <v>245</v>
      </c>
    </row>
    <row r="431" spans="1:18" x14ac:dyDescent="0.25">
      <c r="A431" t="s">
        <v>285</v>
      </c>
      <c r="B431" t="s">
        <v>141</v>
      </c>
      <c r="C431" s="4">
        <v>1.157226075461294E-3</v>
      </c>
      <c r="D431" s="4">
        <v>1.157226075461294E-3</v>
      </c>
      <c r="E431" s="4">
        <v>1.157226075461294E-3</v>
      </c>
      <c r="F431" s="4">
        <v>1.157226075461294E-3</v>
      </c>
      <c r="G431" s="4">
        <v>1.157226075461294E-3</v>
      </c>
      <c r="H431" s="4">
        <v>1.157226075461294E-3</v>
      </c>
      <c r="I431" s="4">
        <v>1.157226075461294E-3</v>
      </c>
      <c r="J431" s="4">
        <v>1.157226075461294E-3</v>
      </c>
      <c r="K431" s="4">
        <v>1.157226075461294E-3</v>
      </c>
      <c r="L431" s="4">
        <v>1.157226075461294E-3</v>
      </c>
      <c r="M431" s="4">
        <v>1.157226075461294E-3</v>
      </c>
      <c r="N431" t="s">
        <v>256</v>
      </c>
      <c r="O431" t="s">
        <v>284</v>
      </c>
      <c r="P431" t="s">
        <v>285</v>
      </c>
      <c r="Q431" t="s">
        <v>245</v>
      </c>
    </row>
    <row r="432" spans="1:18" x14ac:dyDescent="0.25">
      <c r="A432" t="s">
        <v>285</v>
      </c>
      <c r="B432" t="s">
        <v>133</v>
      </c>
      <c r="C432" s="4">
        <v>1.707815643284737E-2</v>
      </c>
      <c r="D432" s="4">
        <v>1.707815643284737E-2</v>
      </c>
      <c r="E432" s="4">
        <v>1.707815643284737E-2</v>
      </c>
      <c r="F432" s="4">
        <v>1.707815643284737E-2</v>
      </c>
      <c r="G432" s="4">
        <v>1.707815643284737E-2</v>
      </c>
      <c r="H432" s="4">
        <v>1.707815643284737E-2</v>
      </c>
      <c r="I432" s="4">
        <v>1.707815643284737E-2</v>
      </c>
      <c r="J432" s="4">
        <v>1.707815643284737E-2</v>
      </c>
      <c r="K432" s="4">
        <v>1.707815643284737E-2</v>
      </c>
      <c r="L432" s="4">
        <v>1.707815643284737E-2</v>
      </c>
      <c r="M432" s="4">
        <v>1.707815643284737E-2</v>
      </c>
      <c r="N432" t="s">
        <v>256</v>
      </c>
      <c r="O432" t="s">
        <v>284</v>
      </c>
      <c r="P432" t="s">
        <v>285</v>
      </c>
      <c r="Q432" t="s">
        <v>245</v>
      </c>
    </row>
    <row r="433" spans="1:17" x14ac:dyDescent="0.25">
      <c r="A433" t="s">
        <v>285</v>
      </c>
      <c r="B433" t="s">
        <v>106</v>
      </c>
      <c r="C433" s="4">
        <v>1.156186999756449E-2</v>
      </c>
      <c r="D433" s="4">
        <v>1.156186999756449E-2</v>
      </c>
      <c r="E433" s="4">
        <v>1.156186999756449E-2</v>
      </c>
      <c r="F433" s="4">
        <v>1.156186999756449E-2</v>
      </c>
      <c r="G433" s="4">
        <v>1.156186999756449E-2</v>
      </c>
      <c r="H433" s="4">
        <v>1.156186999756449E-2</v>
      </c>
      <c r="I433" s="4">
        <v>1.156186999756449E-2</v>
      </c>
      <c r="J433" s="4">
        <v>1.156186999756449E-2</v>
      </c>
      <c r="K433" s="4">
        <v>1.156186999756449E-2</v>
      </c>
      <c r="L433" s="4">
        <v>1.156186999756449E-2</v>
      </c>
      <c r="M433" s="4">
        <v>1.156186999756449E-2</v>
      </c>
      <c r="N433" t="s">
        <v>256</v>
      </c>
      <c r="O433" t="s">
        <v>284</v>
      </c>
      <c r="P433" t="s">
        <v>285</v>
      </c>
      <c r="Q433" t="s">
        <v>245</v>
      </c>
    </row>
    <row r="434" spans="1:17" x14ac:dyDescent="0.25">
      <c r="A434" t="s">
        <v>285</v>
      </c>
      <c r="B434" t="s">
        <v>155</v>
      </c>
      <c r="C434" s="4">
        <v>2.9909822867731262E-3</v>
      </c>
      <c r="D434" s="4">
        <v>2.9909822867731262E-3</v>
      </c>
      <c r="E434" s="4">
        <v>2.9909822867731262E-3</v>
      </c>
      <c r="F434" s="4">
        <v>2.9909822867731262E-3</v>
      </c>
      <c r="G434" s="4">
        <v>2.9909822867731262E-3</v>
      </c>
      <c r="H434" s="4">
        <v>2.9909822867731262E-3</v>
      </c>
      <c r="I434" s="4">
        <v>2.9909822867731262E-3</v>
      </c>
      <c r="J434" s="4">
        <v>2.9909822867731262E-3</v>
      </c>
      <c r="K434" s="4">
        <v>2.9909822867731262E-3</v>
      </c>
      <c r="L434" s="4">
        <v>2.9909822867731262E-3</v>
      </c>
      <c r="M434" s="4">
        <v>2.9909822867731262E-3</v>
      </c>
      <c r="N434" t="s">
        <v>256</v>
      </c>
      <c r="O434" t="s">
        <v>284</v>
      </c>
      <c r="P434" t="s">
        <v>285</v>
      </c>
      <c r="Q434" t="s">
        <v>245</v>
      </c>
    </row>
    <row r="435" spans="1:17" x14ac:dyDescent="0.25">
      <c r="A435" t="s">
        <v>285</v>
      </c>
      <c r="B435" t="s">
        <v>156</v>
      </c>
      <c r="C435" s="4">
        <v>9.9748397290308705E-4</v>
      </c>
      <c r="D435" s="4">
        <v>9.9748397290308705E-4</v>
      </c>
      <c r="E435" s="4">
        <v>9.9748397290308705E-4</v>
      </c>
      <c r="F435" s="4">
        <v>9.9748397290308705E-4</v>
      </c>
      <c r="G435" s="4">
        <v>9.9748397290308705E-4</v>
      </c>
      <c r="H435" s="4">
        <v>9.9748397290308705E-4</v>
      </c>
      <c r="I435" s="4">
        <v>9.9748397290308705E-4</v>
      </c>
      <c r="J435" s="4">
        <v>9.9748397290308705E-4</v>
      </c>
      <c r="K435" s="4">
        <v>9.9748397290308705E-4</v>
      </c>
      <c r="L435" s="4">
        <v>9.9748397290308705E-4</v>
      </c>
      <c r="M435" s="4">
        <v>9.9748397290308705E-4</v>
      </c>
      <c r="N435" t="s">
        <v>256</v>
      </c>
      <c r="O435" t="s">
        <v>284</v>
      </c>
      <c r="P435" t="s">
        <v>285</v>
      </c>
      <c r="Q435" t="s">
        <v>245</v>
      </c>
    </row>
    <row r="436" spans="1:17" x14ac:dyDescent="0.25">
      <c r="A436" t="s">
        <v>285</v>
      </c>
      <c r="B436" t="s">
        <v>107</v>
      </c>
      <c r="C436" s="4">
        <v>1.7101693506824531E-2</v>
      </c>
      <c r="D436" s="4">
        <v>1.7101693506824531E-2</v>
      </c>
      <c r="E436" s="4">
        <v>1.7101693506824531E-2</v>
      </c>
      <c r="F436" s="4">
        <v>1.7101693506824531E-2</v>
      </c>
      <c r="G436" s="4">
        <v>1.7101693506824531E-2</v>
      </c>
      <c r="H436" s="4">
        <v>1.7101693506824531E-2</v>
      </c>
      <c r="I436" s="4">
        <v>1.7101693506824531E-2</v>
      </c>
      <c r="J436" s="4">
        <v>1.7101693506824531E-2</v>
      </c>
      <c r="K436" s="4">
        <v>1.7101693506824531E-2</v>
      </c>
      <c r="L436" s="4">
        <v>1.7101693506824531E-2</v>
      </c>
      <c r="M436" s="4">
        <v>1.7101693506824531E-2</v>
      </c>
      <c r="N436" t="s">
        <v>256</v>
      </c>
      <c r="O436" t="s">
        <v>284</v>
      </c>
      <c r="P436" t="s">
        <v>285</v>
      </c>
      <c r="Q436" t="s">
        <v>245</v>
      </c>
    </row>
    <row r="437" spans="1:17" x14ac:dyDescent="0.25">
      <c r="A437" t="s">
        <v>285</v>
      </c>
      <c r="B437" t="s">
        <v>137</v>
      </c>
      <c r="C437" s="4">
        <v>0.48057119311867807</v>
      </c>
      <c r="D437" s="4">
        <v>0.48057119311867807</v>
      </c>
      <c r="E437" s="4">
        <v>0.48057119311867807</v>
      </c>
      <c r="F437" s="4">
        <v>0.48057119311867807</v>
      </c>
      <c r="G437" s="4">
        <v>0.48057119311867807</v>
      </c>
      <c r="H437" s="4">
        <v>0.48057119311867807</v>
      </c>
      <c r="I437" s="4">
        <v>0.48057119311867807</v>
      </c>
      <c r="J437" s="4">
        <v>0.48057119311867807</v>
      </c>
      <c r="K437" s="4">
        <v>0.48057119311867807</v>
      </c>
      <c r="L437" s="4">
        <v>0.48057119311867807</v>
      </c>
      <c r="M437" s="4">
        <v>0.48057119311867807</v>
      </c>
      <c r="N437" t="s">
        <v>256</v>
      </c>
      <c r="O437" t="s">
        <v>284</v>
      </c>
      <c r="P437" t="s">
        <v>285</v>
      </c>
      <c r="Q437" t="s">
        <v>245</v>
      </c>
    </row>
    <row r="438" spans="1:17" x14ac:dyDescent="0.25">
      <c r="A438" t="s">
        <v>285</v>
      </c>
      <c r="B438" t="s">
        <v>157</v>
      </c>
      <c r="C438" s="4">
        <v>4.898466947130996E-4</v>
      </c>
      <c r="D438" s="4">
        <v>4.898466947130996E-4</v>
      </c>
      <c r="E438" s="4">
        <v>4.898466947130996E-4</v>
      </c>
      <c r="F438" s="4">
        <v>4.898466947130996E-4</v>
      </c>
      <c r="G438" s="4">
        <v>4.898466947130996E-4</v>
      </c>
      <c r="H438" s="4">
        <v>4.898466947130996E-4</v>
      </c>
      <c r="I438" s="4">
        <v>4.898466947130996E-4</v>
      </c>
      <c r="J438" s="4">
        <v>4.898466947130996E-4</v>
      </c>
      <c r="K438" s="4">
        <v>4.898466947130996E-4</v>
      </c>
      <c r="L438" s="4">
        <v>4.898466947130996E-4</v>
      </c>
      <c r="M438" s="4">
        <v>4.898466947130996E-4</v>
      </c>
      <c r="N438" t="s">
        <v>256</v>
      </c>
      <c r="O438" t="s">
        <v>284</v>
      </c>
      <c r="P438" t="s">
        <v>285</v>
      </c>
      <c r="Q438" t="s">
        <v>245</v>
      </c>
    </row>
    <row r="439" spans="1:17" x14ac:dyDescent="0.25">
      <c r="A439" t="s">
        <v>285</v>
      </c>
      <c r="B439" t="s">
        <v>112</v>
      </c>
      <c r="C439" s="4">
        <v>7.8779160676553092E-2</v>
      </c>
      <c r="D439" s="4">
        <v>7.8779160676553092E-2</v>
      </c>
      <c r="E439" s="4">
        <v>7.8779160676553092E-2</v>
      </c>
      <c r="F439" s="4">
        <v>7.8779160676553092E-2</v>
      </c>
      <c r="G439" s="4">
        <v>7.8779160676553092E-2</v>
      </c>
      <c r="H439" s="4">
        <v>7.8779160676553092E-2</v>
      </c>
      <c r="I439" s="4">
        <v>7.8779160676553092E-2</v>
      </c>
      <c r="J439" s="4">
        <v>7.8779160676553092E-2</v>
      </c>
      <c r="K439" s="4">
        <v>7.8779160676553092E-2</v>
      </c>
      <c r="L439" s="4">
        <v>7.8779160676553092E-2</v>
      </c>
      <c r="M439" s="4">
        <v>7.8779160676553092E-2</v>
      </c>
      <c r="N439" t="s">
        <v>256</v>
      </c>
      <c r="O439" t="s">
        <v>284</v>
      </c>
      <c r="P439" t="s">
        <v>285</v>
      </c>
      <c r="Q439" t="s">
        <v>245</v>
      </c>
    </row>
    <row r="440" spans="1:17" x14ac:dyDescent="0.25">
      <c r="A440" t="s">
        <v>285</v>
      </c>
      <c r="B440" t="s">
        <v>158</v>
      </c>
      <c r="C440" s="4">
        <v>3.2435241831236021E-2</v>
      </c>
      <c r="D440" s="4">
        <v>3.2435241831236021E-2</v>
      </c>
      <c r="E440" s="4">
        <v>3.2435241831236021E-2</v>
      </c>
      <c r="F440" s="4">
        <v>3.2435241831236021E-2</v>
      </c>
      <c r="G440" s="4">
        <v>3.2435241831236021E-2</v>
      </c>
      <c r="H440" s="4">
        <v>3.2435241831236021E-2</v>
      </c>
      <c r="I440" s="4">
        <v>3.2435241831236021E-2</v>
      </c>
      <c r="J440" s="4">
        <v>3.2435241831236021E-2</v>
      </c>
      <c r="K440" s="4">
        <v>3.2435241831236021E-2</v>
      </c>
      <c r="L440" s="4">
        <v>3.2435241831236021E-2</v>
      </c>
      <c r="M440" s="4">
        <v>3.2435241831236021E-2</v>
      </c>
      <c r="N440" t="s">
        <v>256</v>
      </c>
      <c r="O440" t="s">
        <v>284</v>
      </c>
      <c r="P440" t="s">
        <v>285</v>
      </c>
      <c r="Q440" t="s">
        <v>245</v>
      </c>
    </row>
    <row r="441" spans="1:17" x14ac:dyDescent="0.25">
      <c r="A441" t="s">
        <v>715</v>
      </c>
      <c r="B441" t="s">
        <v>86</v>
      </c>
      <c r="C441" s="4">
        <v>0.40400000000000003</v>
      </c>
      <c r="D441" s="4">
        <v>0.40400000000000003</v>
      </c>
      <c r="E441" s="4">
        <v>0.40400000000000003</v>
      </c>
      <c r="F441" s="4">
        <v>0.40400000000000003</v>
      </c>
      <c r="G441" s="4">
        <v>0.40400000000000003</v>
      </c>
      <c r="H441" s="4">
        <v>0.40400000000000003</v>
      </c>
      <c r="I441" s="4">
        <v>0.40400000000000003</v>
      </c>
      <c r="J441" s="4">
        <v>0.40400000000000003</v>
      </c>
      <c r="K441" s="4">
        <v>0.40400000000000003</v>
      </c>
      <c r="L441" s="4">
        <v>0.40400000000000003</v>
      </c>
      <c r="M441" s="4">
        <v>0.40400000000000003</v>
      </c>
      <c r="N441" t="s">
        <v>256</v>
      </c>
      <c r="O441" t="s">
        <v>716</v>
      </c>
      <c r="P441" t="s">
        <v>715</v>
      </c>
      <c r="Q441" t="s">
        <v>245</v>
      </c>
    </row>
    <row r="442" spans="1:17" x14ac:dyDescent="0.25">
      <c r="A442" t="s">
        <v>715</v>
      </c>
      <c r="B442" t="s">
        <v>137</v>
      </c>
      <c r="C442" s="4">
        <v>0.24099999999999999</v>
      </c>
      <c r="D442" s="4">
        <v>0.24099999999999999</v>
      </c>
      <c r="E442" s="4">
        <v>0.24099999999999999</v>
      </c>
      <c r="F442" s="4">
        <v>0.24099999999999999</v>
      </c>
      <c r="G442" s="4">
        <v>0.24099999999999999</v>
      </c>
      <c r="H442" s="4">
        <v>0.24099999999999999</v>
      </c>
      <c r="I442" s="4">
        <v>0.24099999999999999</v>
      </c>
      <c r="J442" s="4">
        <v>0.24099999999999999</v>
      </c>
      <c r="K442" s="4">
        <v>0.24099999999999999</v>
      </c>
      <c r="L442" s="4">
        <v>0.24099999999999999</v>
      </c>
      <c r="M442" s="4">
        <v>0.24099999999999999</v>
      </c>
      <c r="N442" t="s">
        <v>256</v>
      </c>
      <c r="O442" t="s">
        <v>716</v>
      </c>
      <c r="P442" t="s">
        <v>715</v>
      </c>
      <c r="Q442" t="s">
        <v>245</v>
      </c>
    </row>
    <row r="443" spans="1:17" x14ac:dyDescent="0.25">
      <c r="A443" t="s">
        <v>715</v>
      </c>
      <c r="B443" t="s">
        <v>102</v>
      </c>
      <c r="C443" s="4">
        <v>0.13900000000000001</v>
      </c>
      <c r="D443" s="4">
        <v>0.13900000000000001</v>
      </c>
      <c r="E443" s="4">
        <v>0.13900000000000001</v>
      </c>
      <c r="F443" s="4">
        <v>0.13900000000000001</v>
      </c>
      <c r="G443" s="4">
        <v>0.13900000000000001</v>
      </c>
      <c r="H443" s="4">
        <v>0.13900000000000001</v>
      </c>
      <c r="I443" s="4">
        <v>0.13900000000000001</v>
      </c>
      <c r="J443" s="4">
        <v>0.13900000000000001</v>
      </c>
      <c r="K443" s="4">
        <v>0.13900000000000001</v>
      </c>
      <c r="L443" s="4">
        <v>0.13900000000000001</v>
      </c>
      <c r="M443" s="4">
        <v>0.13900000000000001</v>
      </c>
      <c r="N443" t="s">
        <v>256</v>
      </c>
      <c r="O443" t="s">
        <v>716</v>
      </c>
      <c r="P443" t="s">
        <v>715</v>
      </c>
      <c r="Q443" t="s">
        <v>245</v>
      </c>
    </row>
    <row r="444" spans="1:17" x14ac:dyDescent="0.25">
      <c r="A444" t="s">
        <v>715</v>
      </c>
      <c r="B444" t="s">
        <v>97</v>
      </c>
      <c r="C444" s="4">
        <v>8.7999999999999995E-2</v>
      </c>
      <c r="D444" s="4">
        <v>8.7999999999999995E-2</v>
      </c>
      <c r="E444" s="4">
        <v>8.7999999999999995E-2</v>
      </c>
      <c r="F444" s="4">
        <v>8.7999999999999995E-2</v>
      </c>
      <c r="G444" s="4">
        <v>8.7999999999999995E-2</v>
      </c>
      <c r="H444" s="4">
        <v>8.7999999999999995E-2</v>
      </c>
      <c r="I444" s="4">
        <v>8.7999999999999995E-2</v>
      </c>
      <c r="J444" s="4">
        <v>8.7999999999999995E-2</v>
      </c>
      <c r="K444" s="4">
        <v>8.7999999999999995E-2</v>
      </c>
      <c r="L444" s="4">
        <v>8.7999999999999995E-2</v>
      </c>
      <c r="M444" s="4">
        <v>8.7999999999999995E-2</v>
      </c>
      <c r="N444" t="s">
        <v>256</v>
      </c>
      <c r="O444" t="s">
        <v>716</v>
      </c>
      <c r="P444" t="s">
        <v>715</v>
      </c>
      <c r="Q444" t="s">
        <v>245</v>
      </c>
    </row>
    <row r="445" spans="1:17" x14ac:dyDescent="0.25">
      <c r="A445" t="s">
        <v>715</v>
      </c>
      <c r="B445" t="s">
        <v>154</v>
      </c>
      <c r="C445" s="4">
        <v>3.4000000000000002E-2</v>
      </c>
      <c r="D445" s="4">
        <v>3.4000000000000002E-2</v>
      </c>
      <c r="E445" s="4">
        <v>3.4000000000000002E-2</v>
      </c>
      <c r="F445" s="4">
        <v>3.4000000000000002E-2</v>
      </c>
      <c r="G445" s="4">
        <v>3.4000000000000002E-2</v>
      </c>
      <c r="H445" s="4">
        <v>3.4000000000000002E-2</v>
      </c>
      <c r="I445" s="4">
        <v>3.4000000000000002E-2</v>
      </c>
      <c r="J445" s="4">
        <v>3.4000000000000002E-2</v>
      </c>
      <c r="K445" s="4">
        <v>3.4000000000000002E-2</v>
      </c>
      <c r="L445" s="4">
        <v>3.4000000000000002E-2</v>
      </c>
      <c r="M445" s="4">
        <v>3.4000000000000002E-2</v>
      </c>
      <c r="N445" t="s">
        <v>333</v>
      </c>
      <c r="O445" t="s">
        <v>716</v>
      </c>
      <c r="P445" t="s">
        <v>715</v>
      </c>
      <c r="Q445" t="s">
        <v>245</v>
      </c>
    </row>
    <row r="446" spans="1:17" x14ac:dyDescent="0.25">
      <c r="A446" t="s">
        <v>715</v>
      </c>
      <c r="B446" t="s">
        <v>107</v>
      </c>
      <c r="C446" s="4">
        <v>3.3000000000000002E-2</v>
      </c>
      <c r="D446" s="4">
        <v>3.3000000000000002E-2</v>
      </c>
      <c r="E446" s="4">
        <v>3.3000000000000002E-2</v>
      </c>
      <c r="F446" s="4">
        <v>3.3000000000000002E-2</v>
      </c>
      <c r="G446" s="4">
        <v>3.3000000000000002E-2</v>
      </c>
      <c r="H446" s="4">
        <v>3.3000000000000002E-2</v>
      </c>
      <c r="I446" s="4">
        <v>3.3000000000000002E-2</v>
      </c>
      <c r="J446" s="4">
        <v>3.3000000000000002E-2</v>
      </c>
      <c r="K446" s="4">
        <v>3.3000000000000002E-2</v>
      </c>
      <c r="L446" s="4">
        <v>3.3000000000000002E-2</v>
      </c>
      <c r="M446" s="4">
        <v>3.3000000000000002E-2</v>
      </c>
      <c r="N446" t="s">
        <v>333</v>
      </c>
      <c r="O446" t="s">
        <v>716</v>
      </c>
      <c r="P446" t="s">
        <v>715</v>
      </c>
      <c r="Q446" t="s">
        <v>245</v>
      </c>
    </row>
    <row r="447" spans="1:17" x14ac:dyDescent="0.25">
      <c r="A447" t="s">
        <v>715</v>
      </c>
      <c r="B447" t="s">
        <v>85</v>
      </c>
      <c r="C447" s="4">
        <v>1.2E-2</v>
      </c>
      <c r="D447" s="4">
        <v>1.2E-2</v>
      </c>
      <c r="E447" s="4">
        <v>1.2E-2</v>
      </c>
      <c r="F447" s="4">
        <v>1.2E-2</v>
      </c>
      <c r="G447" s="4">
        <v>1.2E-2</v>
      </c>
      <c r="H447" s="4">
        <v>1.2E-2</v>
      </c>
      <c r="I447" s="4">
        <v>1.2E-2</v>
      </c>
      <c r="J447" s="4">
        <v>1.2E-2</v>
      </c>
      <c r="K447" s="4">
        <v>1.2E-2</v>
      </c>
      <c r="L447" s="4">
        <v>1.2E-2</v>
      </c>
      <c r="M447" s="4">
        <v>1.2E-2</v>
      </c>
      <c r="N447" t="s">
        <v>256</v>
      </c>
      <c r="O447" t="s">
        <v>716</v>
      </c>
      <c r="P447" t="s">
        <v>715</v>
      </c>
      <c r="Q447" t="s">
        <v>245</v>
      </c>
    </row>
    <row r="448" spans="1:17" x14ac:dyDescent="0.25">
      <c r="A448" t="s">
        <v>715</v>
      </c>
      <c r="B448" t="s">
        <v>112</v>
      </c>
      <c r="C448" s="4">
        <v>1.0999999999999999E-2</v>
      </c>
      <c r="D448" s="4">
        <v>1.0999999999999999E-2</v>
      </c>
      <c r="E448" s="4">
        <v>1.0999999999999999E-2</v>
      </c>
      <c r="F448" s="4">
        <v>1.0999999999999999E-2</v>
      </c>
      <c r="G448" s="4">
        <v>1.0999999999999999E-2</v>
      </c>
      <c r="H448" s="4">
        <v>1.0999999999999999E-2</v>
      </c>
      <c r="I448" s="4">
        <v>1.0999999999999999E-2</v>
      </c>
      <c r="J448" s="4">
        <v>1.0999999999999999E-2</v>
      </c>
      <c r="K448" s="4">
        <v>1.0999999999999999E-2</v>
      </c>
      <c r="L448" s="4">
        <v>1.0999999999999999E-2</v>
      </c>
      <c r="M448" s="4">
        <v>1.0999999999999999E-2</v>
      </c>
      <c r="N448" t="s">
        <v>256</v>
      </c>
      <c r="O448" t="s">
        <v>716</v>
      </c>
      <c r="P448" t="s">
        <v>715</v>
      </c>
      <c r="Q448" t="s">
        <v>245</v>
      </c>
    </row>
    <row r="449" spans="1:18" x14ac:dyDescent="0.25">
      <c r="A449" t="s">
        <v>715</v>
      </c>
      <c r="B449" t="s">
        <v>158</v>
      </c>
      <c r="C449" s="4">
        <v>1.0999999999999999E-2</v>
      </c>
      <c r="D449" s="4">
        <v>1.0999999999999999E-2</v>
      </c>
      <c r="E449" s="4">
        <v>1.0999999999999999E-2</v>
      </c>
      <c r="F449" s="4">
        <v>1.0999999999999999E-2</v>
      </c>
      <c r="G449" s="4">
        <v>1.0999999999999999E-2</v>
      </c>
      <c r="H449" s="4">
        <v>1.0999999999999999E-2</v>
      </c>
      <c r="I449" s="4">
        <v>1.0999999999999999E-2</v>
      </c>
      <c r="J449" s="4">
        <v>1.0999999999999999E-2</v>
      </c>
      <c r="K449" s="4">
        <v>1.0999999999999999E-2</v>
      </c>
      <c r="L449" s="4">
        <v>1.0999999999999999E-2</v>
      </c>
      <c r="M449" s="4">
        <v>1.0999999999999999E-2</v>
      </c>
      <c r="N449" t="s">
        <v>256</v>
      </c>
      <c r="O449" t="s">
        <v>716</v>
      </c>
      <c r="P449" t="s">
        <v>715</v>
      </c>
      <c r="Q449" t="s">
        <v>245</v>
      </c>
    </row>
    <row r="450" spans="1:18" x14ac:dyDescent="0.25">
      <c r="A450" t="s">
        <v>715</v>
      </c>
      <c r="B450" t="s">
        <v>138</v>
      </c>
      <c r="C450" s="4">
        <v>8.9999999999999993E-3</v>
      </c>
      <c r="D450" s="4">
        <v>8.9999999999999993E-3</v>
      </c>
      <c r="E450" s="4">
        <v>8.9999999999999993E-3</v>
      </c>
      <c r="F450" s="4">
        <v>8.9999999999999993E-3</v>
      </c>
      <c r="G450" s="4">
        <v>8.9999999999999993E-3</v>
      </c>
      <c r="H450" s="4">
        <v>8.9999999999999993E-3</v>
      </c>
      <c r="I450" s="4">
        <v>8.9999999999999993E-3</v>
      </c>
      <c r="J450" s="4">
        <v>8.9999999999999993E-3</v>
      </c>
      <c r="K450" s="4">
        <v>8.9999999999999993E-3</v>
      </c>
      <c r="L450" s="4">
        <v>8.9999999999999993E-3</v>
      </c>
      <c r="M450" s="4">
        <v>8.9999999999999993E-3</v>
      </c>
      <c r="N450" t="s">
        <v>333</v>
      </c>
      <c r="O450" t="s">
        <v>716</v>
      </c>
      <c r="P450" t="s">
        <v>715</v>
      </c>
      <c r="Q450" t="s">
        <v>245</v>
      </c>
    </row>
    <row r="451" spans="1:18" x14ac:dyDescent="0.25">
      <c r="A451" t="s">
        <v>715</v>
      </c>
      <c r="B451" t="s">
        <v>153</v>
      </c>
      <c r="C451" s="4">
        <v>5.0000000000000001E-3</v>
      </c>
      <c r="D451" s="4">
        <v>5.0000000000000001E-3</v>
      </c>
      <c r="E451" s="4">
        <v>5.0000000000000001E-3</v>
      </c>
      <c r="F451" s="4">
        <v>5.0000000000000001E-3</v>
      </c>
      <c r="G451" s="4">
        <v>5.0000000000000001E-3</v>
      </c>
      <c r="H451" s="4">
        <v>5.0000000000000001E-3</v>
      </c>
      <c r="I451" s="4">
        <v>5.0000000000000001E-3</v>
      </c>
      <c r="J451" s="4">
        <v>5.0000000000000001E-3</v>
      </c>
      <c r="K451" s="4">
        <v>5.0000000000000001E-3</v>
      </c>
      <c r="L451" s="4">
        <v>5.0000000000000001E-3</v>
      </c>
      <c r="M451" s="4">
        <v>5.0000000000000001E-3</v>
      </c>
      <c r="N451" t="s">
        <v>333</v>
      </c>
      <c r="O451" t="s">
        <v>716</v>
      </c>
      <c r="P451" t="s">
        <v>715</v>
      </c>
      <c r="Q451" t="s">
        <v>245</v>
      </c>
    </row>
    <row r="452" spans="1:18" x14ac:dyDescent="0.25">
      <c r="A452" t="s">
        <v>715</v>
      </c>
      <c r="B452" t="s">
        <v>133</v>
      </c>
      <c r="C452" s="4">
        <v>5.0000000000000001E-3</v>
      </c>
      <c r="D452" s="4">
        <v>5.0000000000000001E-3</v>
      </c>
      <c r="E452" s="4">
        <v>5.0000000000000001E-3</v>
      </c>
      <c r="F452" s="4">
        <v>5.0000000000000001E-3</v>
      </c>
      <c r="G452" s="4">
        <v>5.0000000000000001E-3</v>
      </c>
      <c r="H452" s="4">
        <v>5.0000000000000001E-3</v>
      </c>
      <c r="I452" s="4">
        <v>5.0000000000000001E-3</v>
      </c>
      <c r="J452" s="4">
        <v>5.0000000000000001E-3</v>
      </c>
      <c r="K452" s="4">
        <v>5.0000000000000001E-3</v>
      </c>
      <c r="L452" s="4">
        <v>5.0000000000000001E-3</v>
      </c>
      <c r="M452" s="4">
        <v>5.0000000000000001E-3</v>
      </c>
      <c r="N452" t="s">
        <v>256</v>
      </c>
      <c r="O452" t="s">
        <v>716</v>
      </c>
      <c r="P452" t="s">
        <v>715</v>
      </c>
      <c r="Q452" t="s">
        <v>245</v>
      </c>
    </row>
    <row r="453" spans="1:18" x14ac:dyDescent="0.25">
      <c r="A453" t="s">
        <v>715</v>
      </c>
      <c r="B453" t="s">
        <v>98</v>
      </c>
      <c r="C453" s="4">
        <v>4.0000000000000001E-3</v>
      </c>
      <c r="D453" s="4">
        <v>4.0000000000000001E-3</v>
      </c>
      <c r="E453" s="4">
        <v>4.0000000000000001E-3</v>
      </c>
      <c r="F453" s="4">
        <v>4.0000000000000001E-3</v>
      </c>
      <c r="G453" s="4">
        <v>4.0000000000000001E-3</v>
      </c>
      <c r="H453" s="4">
        <v>4.0000000000000001E-3</v>
      </c>
      <c r="I453" s="4">
        <v>4.0000000000000001E-3</v>
      </c>
      <c r="J453" s="4">
        <v>4.0000000000000001E-3</v>
      </c>
      <c r="K453" s="4">
        <v>4.0000000000000001E-3</v>
      </c>
      <c r="L453" s="4">
        <v>4.0000000000000001E-3</v>
      </c>
      <c r="M453" s="4">
        <v>4.0000000000000001E-3</v>
      </c>
      <c r="N453" t="s">
        <v>256</v>
      </c>
      <c r="O453" t="s">
        <v>716</v>
      </c>
      <c r="P453" t="s">
        <v>715</v>
      </c>
      <c r="Q453" t="s">
        <v>245</v>
      </c>
    </row>
    <row r="454" spans="1:18" x14ac:dyDescent="0.25">
      <c r="A454" t="s">
        <v>715</v>
      </c>
      <c r="B454" t="s">
        <v>117</v>
      </c>
      <c r="C454" s="4">
        <v>2E-3</v>
      </c>
      <c r="D454" s="4">
        <v>2E-3</v>
      </c>
      <c r="E454" s="4">
        <v>2E-3</v>
      </c>
      <c r="F454" s="4">
        <v>2E-3</v>
      </c>
      <c r="G454" s="4">
        <v>2E-3</v>
      </c>
      <c r="H454" s="4">
        <v>2E-3</v>
      </c>
      <c r="I454" s="4">
        <v>2E-3</v>
      </c>
      <c r="J454" s="4">
        <v>2E-3</v>
      </c>
      <c r="K454" s="4">
        <v>2E-3</v>
      </c>
      <c r="L454" s="4">
        <v>2E-3</v>
      </c>
      <c r="M454" s="4">
        <v>2E-3</v>
      </c>
      <c r="N454" t="s">
        <v>333</v>
      </c>
      <c r="O454" t="s">
        <v>716</v>
      </c>
      <c r="P454" t="s">
        <v>715</v>
      </c>
      <c r="Q454" t="s">
        <v>245</v>
      </c>
    </row>
    <row r="455" spans="1:18" x14ac:dyDescent="0.25">
      <c r="A455" t="s">
        <v>715</v>
      </c>
      <c r="B455" t="s">
        <v>119</v>
      </c>
      <c r="C455" s="4">
        <v>2E-3</v>
      </c>
      <c r="D455" s="4">
        <v>2E-3</v>
      </c>
      <c r="E455" s="4">
        <v>2E-3</v>
      </c>
      <c r="F455" s="4">
        <v>2E-3</v>
      </c>
      <c r="G455" s="4">
        <v>2E-3</v>
      </c>
      <c r="H455" s="4">
        <v>2E-3</v>
      </c>
      <c r="I455" s="4">
        <v>2E-3</v>
      </c>
      <c r="J455" s="4">
        <v>2E-3</v>
      </c>
      <c r="K455" s="4">
        <v>2E-3</v>
      </c>
      <c r="L455" s="4">
        <v>2E-3</v>
      </c>
      <c r="M455" s="4">
        <v>2E-3</v>
      </c>
      <c r="N455" t="s">
        <v>256</v>
      </c>
      <c r="O455" t="s">
        <v>716</v>
      </c>
      <c r="P455" t="s">
        <v>715</v>
      </c>
      <c r="Q455" t="s">
        <v>245</v>
      </c>
    </row>
    <row r="456" spans="1:18" x14ac:dyDescent="0.25">
      <c r="A456" t="s">
        <v>297</v>
      </c>
      <c r="B456" t="s">
        <v>83</v>
      </c>
      <c r="C456" s="4">
        <v>2.825062533172638E-2</v>
      </c>
      <c r="D456" s="4">
        <v>2.5891272244013282E-2</v>
      </c>
      <c r="E456" s="4">
        <v>2.3044456377829581E-2</v>
      </c>
      <c r="F456" s="4">
        <v>2.075870323824135E-2</v>
      </c>
      <c r="G456" s="4">
        <v>2.4020128196994221E-2</v>
      </c>
      <c r="H456" s="4">
        <v>3.6490941725140121E-2</v>
      </c>
      <c r="I456" s="4">
        <v>4.7934072364357469E-2</v>
      </c>
      <c r="J456" s="4">
        <v>5.6743337371079047E-2</v>
      </c>
      <c r="K456" s="4">
        <v>6.211352665962297E-2</v>
      </c>
      <c r="L456" s="4">
        <v>6.4781525591077013E-2</v>
      </c>
      <c r="M456" s="4">
        <v>6.7184915732936432E-2</v>
      </c>
      <c r="N456" t="s">
        <v>298</v>
      </c>
      <c r="O456" t="s">
        <v>296</v>
      </c>
      <c r="P456" t="s">
        <v>297</v>
      </c>
      <c r="Q456" t="s">
        <v>245</v>
      </c>
      <c r="R456" t="s">
        <v>300</v>
      </c>
    </row>
    <row r="457" spans="1:18" x14ac:dyDescent="0.25">
      <c r="A457" t="s">
        <v>290</v>
      </c>
      <c r="B457" t="s">
        <v>83</v>
      </c>
      <c r="C457" s="4">
        <v>2.825062533172638E-2</v>
      </c>
      <c r="D457" s="4">
        <v>2.5891272244013282E-2</v>
      </c>
      <c r="E457" s="4">
        <v>2.3044456377829581E-2</v>
      </c>
      <c r="F457" s="4">
        <v>2.075870323824135E-2</v>
      </c>
      <c r="G457" s="4">
        <v>2.4020128196994221E-2</v>
      </c>
      <c r="H457" s="4">
        <v>3.6490941725140121E-2</v>
      </c>
      <c r="I457" s="4">
        <v>4.7934072364357469E-2</v>
      </c>
      <c r="J457" s="4">
        <v>5.6743337371079047E-2</v>
      </c>
      <c r="K457" s="4">
        <v>6.211352665962297E-2</v>
      </c>
      <c r="L457" s="4">
        <v>6.4781525591077013E-2</v>
      </c>
      <c r="M457" s="4">
        <v>6.7184915732936432E-2</v>
      </c>
      <c r="N457" t="s">
        <v>298</v>
      </c>
      <c r="O457" t="s">
        <v>299</v>
      </c>
      <c r="P457" t="s">
        <v>290</v>
      </c>
      <c r="Q457" t="s">
        <v>245</v>
      </c>
      <c r="R457" t="s">
        <v>301</v>
      </c>
    </row>
    <row r="458" spans="1:18" x14ac:dyDescent="0.25">
      <c r="A458" t="s">
        <v>297</v>
      </c>
      <c r="B458" t="s">
        <v>85</v>
      </c>
      <c r="C458" s="4">
        <v>0</v>
      </c>
      <c r="D458" s="4">
        <v>0</v>
      </c>
      <c r="E458" s="4">
        <v>0</v>
      </c>
      <c r="F458" s="4">
        <v>1.6419069823064051E-3</v>
      </c>
      <c r="G458" s="4">
        <v>4.9079998598525994E-3</v>
      </c>
      <c r="H458" s="4">
        <v>7.8863023997690265E-3</v>
      </c>
      <c r="I458" s="4">
        <v>1.0136802503760671E-2</v>
      </c>
      <c r="J458" s="4">
        <v>1.1474121023645209E-2</v>
      </c>
      <c r="K458" s="4">
        <v>1.15115199481095E-2</v>
      </c>
      <c r="L458" s="4">
        <v>1.126058833655526E-2</v>
      </c>
      <c r="M458" s="4">
        <v>1.1125911193423901E-2</v>
      </c>
      <c r="N458" t="s">
        <v>298</v>
      </c>
      <c r="O458" t="s">
        <v>296</v>
      </c>
      <c r="P458" t="s">
        <v>297</v>
      </c>
      <c r="Q458" t="s">
        <v>245</v>
      </c>
    </row>
    <row r="459" spans="1:18" x14ac:dyDescent="0.25">
      <c r="A459" t="s">
        <v>290</v>
      </c>
      <c r="B459" t="s">
        <v>85</v>
      </c>
      <c r="C459" s="4">
        <v>0</v>
      </c>
      <c r="D459" s="4">
        <v>0</v>
      </c>
      <c r="E459" s="4">
        <v>0</v>
      </c>
      <c r="F459" s="4">
        <v>1.6419069823064051E-3</v>
      </c>
      <c r="G459" s="4">
        <v>4.9079998598525994E-3</v>
      </c>
      <c r="H459" s="4">
        <v>7.8863023997690265E-3</v>
      </c>
      <c r="I459" s="4">
        <v>1.0136802503760671E-2</v>
      </c>
      <c r="J459" s="4">
        <v>1.1474121023645209E-2</v>
      </c>
      <c r="K459" s="4">
        <v>1.15115199481095E-2</v>
      </c>
      <c r="L459" s="4">
        <v>1.126058833655526E-2</v>
      </c>
      <c r="M459" s="4">
        <v>1.1125911193423901E-2</v>
      </c>
      <c r="N459" t="s">
        <v>298</v>
      </c>
      <c r="O459" t="s">
        <v>299</v>
      </c>
      <c r="P459" t="s">
        <v>290</v>
      </c>
      <c r="Q459" t="s">
        <v>245</v>
      </c>
    </row>
    <row r="460" spans="1:18" x14ac:dyDescent="0.25">
      <c r="A460" t="s">
        <v>297</v>
      </c>
      <c r="B460" t="s">
        <v>116</v>
      </c>
      <c r="C460" s="4">
        <v>2.1814033822162401E-2</v>
      </c>
      <c r="D460" s="4">
        <v>2.326962639867023E-2</v>
      </c>
      <c r="E460" s="4">
        <v>2.21689870987881E-2</v>
      </c>
      <c r="F460" s="4">
        <v>1.997007075067686E-2</v>
      </c>
      <c r="G460" s="4">
        <v>2.0150923599780692E-2</v>
      </c>
      <c r="H460" s="4">
        <v>2.2336318128982891E-2</v>
      </c>
      <c r="I460" s="4">
        <v>2.3831829559861809E-2</v>
      </c>
      <c r="J460" s="4">
        <v>2.715581470231964E-2</v>
      </c>
      <c r="K460" s="4">
        <v>2.9765569005402791E-2</v>
      </c>
      <c r="L460" s="4">
        <v>3.0725385559563449E-2</v>
      </c>
      <c r="M460" s="4">
        <v>3.1947324450677279E-2</v>
      </c>
      <c r="N460" t="s">
        <v>298</v>
      </c>
      <c r="O460" t="s">
        <v>296</v>
      </c>
      <c r="P460" t="s">
        <v>297</v>
      </c>
      <c r="Q460" t="s">
        <v>245</v>
      </c>
    </row>
    <row r="461" spans="1:18" x14ac:dyDescent="0.25">
      <c r="A461" t="s">
        <v>290</v>
      </c>
      <c r="B461" t="s">
        <v>116</v>
      </c>
      <c r="C461" s="4">
        <v>2.1814033822162401E-2</v>
      </c>
      <c r="D461" s="4">
        <v>2.326962639867023E-2</v>
      </c>
      <c r="E461" s="4">
        <v>2.21689870987881E-2</v>
      </c>
      <c r="F461" s="4">
        <v>1.997007075067686E-2</v>
      </c>
      <c r="G461" s="4">
        <v>2.0150923599780692E-2</v>
      </c>
      <c r="H461" s="4">
        <v>2.2336318128982891E-2</v>
      </c>
      <c r="I461" s="4">
        <v>2.3831829559861809E-2</v>
      </c>
      <c r="J461" s="4">
        <v>2.715581470231964E-2</v>
      </c>
      <c r="K461" s="4">
        <v>2.9765569005402791E-2</v>
      </c>
      <c r="L461" s="4">
        <v>3.0725385559563449E-2</v>
      </c>
      <c r="M461" s="4">
        <v>3.1947324450677279E-2</v>
      </c>
      <c r="N461" t="s">
        <v>298</v>
      </c>
      <c r="O461" t="s">
        <v>299</v>
      </c>
      <c r="P461" t="s">
        <v>290</v>
      </c>
      <c r="Q461" t="s">
        <v>245</v>
      </c>
    </row>
    <row r="462" spans="1:18" x14ac:dyDescent="0.25">
      <c r="A462" t="s">
        <v>297</v>
      </c>
      <c r="B462" t="s">
        <v>86</v>
      </c>
      <c r="C462" s="4">
        <v>0</v>
      </c>
      <c r="D462" s="4">
        <v>0</v>
      </c>
      <c r="E462" s="4">
        <v>0</v>
      </c>
      <c r="F462" s="4">
        <v>0</v>
      </c>
      <c r="G462" s="4">
        <v>0</v>
      </c>
      <c r="H462" s="4">
        <v>0</v>
      </c>
      <c r="I462" s="4">
        <v>0</v>
      </c>
      <c r="J462" s="4">
        <v>0</v>
      </c>
      <c r="K462" s="4">
        <v>0</v>
      </c>
      <c r="L462" s="4">
        <v>0</v>
      </c>
      <c r="M462" s="4">
        <v>0</v>
      </c>
      <c r="N462" t="s">
        <v>298</v>
      </c>
      <c r="O462" t="s">
        <v>296</v>
      </c>
      <c r="P462" t="s">
        <v>297</v>
      </c>
      <c r="Q462" t="s">
        <v>245</v>
      </c>
    </row>
    <row r="463" spans="1:18" x14ac:dyDescent="0.25">
      <c r="A463" t="s">
        <v>290</v>
      </c>
      <c r="B463" t="s">
        <v>86</v>
      </c>
      <c r="C463" s="4">
        <v>0</v>
      </c>
      <c r="D463" s="4">
        <v>0</v>
      </c>
      <c r="E463" s="4">
        <v>0</v>
      </c>
      <c r="F463" s="4">
        <v>0</v>
      </c>
      <c r="G463" s="4">
        <v>0</v>
      </c>
      <c r="H463" s="4">
        <v>0</v>
      </c>
      <c r="I463" s="4">
        <v>0</v>
      </c>
      <c r="J463" s="4">
        <v>0</v>
      </c>
      <c r="K463" s="4">
        <v>0</v>
      </c>
      <c r="L463" s="4">
        <v>0</v>
      </c>
      <c r="M463" s="4">
        <v>0</v>
      </c>
      <c r="N463" t="s">
        <v>298</v>
      </c>
      <c r="O463" t="s">
        <v>299</v>
      </c>
      <c r="P463" t="s">
        <v>290</v>
      </c>
      <c r="Q463" t="s">
        <v>245</v>
      </c>
    </row>
    <row r="464" spans="1:18" x14ac:dyDescent="0.25">
      <c r="A464" t="s">
        <v>297</v>
      </c>
      <c r="B464" t="s">
        <v>159</v>
      </c>
      <c r="C464" s="4">
        <v>0.62277175172057864</v>
      </c>
      <c r="D464" s="4">
        <v>0.66375880320724978</v>
      </c>
      <c r="E464" s="4">
        <v>0.73575418927597969</v>
      </c>
      <c r="F464" s="4">
        <v>0.72301654081226996</v>
      </c>
      <c r="G464" s="4">
        <v>0.76234315091128957</v>
      </c>
      <c r="H464" s="4">
        <v>0.76162856191594341</v>
      </c>
      <c r="I464" s="4">
        <v>0.74689541952472283</v>
      </c>
      <c r="J464" s="4">
        <v>0.7489785990183957</v>
      </c>
      <c r="K464" s="4">
        <v>0.74101743415751764</v>
      </c>
      <c r="L464" s="4">
        <v>0.73773441421262609</v>
      </c>
      <c r="M464" s="4">
        <v>0.73526874096626582</v>
      </c>
      <c r="N464" t="s">
        <v>298</v>
      </c>
      <c r="O464" t="s">
        <v>296</v>
      </c>
      <c r="P464" t="s">
        <v>297</v>
      </c>
      <c r="Q464" t="s">
        <v>245</v>
      </c>
      <c r="R464" t="s">
        <v>294</v>
      </c>
    </row>
    <row r="465" spans="1:17" x14ac:dyDescent="0.25">
      <c r="A465" t="s">
        <v>297</v>
      </c>
      <c r="B465" t="s">
        <v>159</v>
      </c>
      <c r="C465" s="4">
        <v>0.10161164040713271</v>
      </c>
      <c r="D465" s="4">
        <v>7.7907628304100168E-2</v>
      </c>
      <c r="E465" s="4">
        <v>2.62580983898302E-2</v>
      </c>
      <c r="F465" s="4">
        <v>5.4013783830663797E-2</v>
      </c>
      <c r="G465" s="4">
        <v>2.461575465114187E-2</v>
      </c>
      <c r="H465" s="4">
        <v>2.2837817202336099E-2</v>
      </c>
      <c r="I465" s="4">
        <v>3.4883308557766467E-2</v>
      </c>
      <c r="J465" s="4">
        <v>2.1870038486361109E-2</v>
      </c>
      <c r="K465" s="4">
        <v>2.1157382091707831E-2</v>
      </c>
      <c r="L465" s="4">
        <v>2.0696187044618258E-2</v>
      </c>
      <c r="M465" s="4">
        <v>2.044865971642058E-2</v>
      </c>
      <c r="N465" t="s">
        <v>298</v>
      </c>
      <c r="O465" t="s">
        <v>295</v>
      </c>
      <c r="P465" t="s">
        <v>297</v>
      </c>
      <c r="Q465" t="s">
        <v>245</v>
      </c>
    </row>
    <row r="466" spans="1:17" x14ac:dyDescent="0.25">
      <c r="A466" t="s">
        <v>290</v>
      </c>
      <c r="B466" t="s">
        <v>159</v>
      </c>
      <c r="C466" s="4">
        <f>SUM(C464:C465)</f>
        <v>0.7243833921277113</v>
      </c>
      <c r="D466" s="4">
        <f t="shared" ref="D466:M466" si="60">SUM(D464:D465)</f>
        <v>0.74166643151134992</v>
      </c>
      <c r="E466" s="4">
        <f t="shared" si="60"/>
        <v>0.76201228766580986</v>
      </c>
      <c r="F466" s="4">
        <f t="shared" si="60"/>
        <v>0.77703032464293376</v>
      </c>
      <c r="G466" s="4">
        <f t="shared" si="60"/>
        <v>0.78695890556243142</v>
      </c>
      <c r="H466" s="4">
        <f t="shared" si="60"/>
        <v>0.78446637911827954</v>
      </c>
      <c r="I466" s="4">
        <f t="shared" si="60"/>
        <v>0.78177872808248927</v>
      </c>
      <c r="J466" s="4">
        <f t="shared" si="60"/>
        <v>0.77084863750475685</v>
      </c>
      <c r="K466" s="4">
        <f t="shared" si="60"/>
        <v>0.76217481624922545</v>
      </c>
      <c r="L466" s="4">
        <f t="shared" si="60"/>
        <v>0.75843060125724437</v>
      </c>
      <c r="M466" s="4">
        <f t="shared" si="60"/>
        <v>0.75571740068268645</v>
      </c>
      <c r="N466" t="s">
        <v>298</v>
      </c>
      <c r="O466" t="s">
        <v>299</v>
      </c>
      <c r="P466" t="s">
        <v>290</v>
      </c>
      <c r="Q466" t="s">
        <v>245</v>
      </c>
    </row>
    <row r="467" spans="1:17" x14ac:dyDescent="0.25">
      <c r="A467" t="s">
        <v>297</v>
      </c>
      <c r="B467" t="s">
        <v>160</v>
      </c>
      <c r="C467" s="4">
        <v>2.717883754277621E-2</v>
      </c>
      <c r="D467" s="4">
        <v>2.4908994892426518E-2</v>
      </c>
      <c r="E467" s="4">
        <v>2.217018309507094E-2</v>
      </c>
      <c r="F467" s="4">
        <v>1.9971148117463141E-2</v>
      </c>
      <c r="G467" s="4">
        <v>1.7553461972233769E-2</v>
      </c>
      <c r="H467" s="4">
        <v>1.546803381488927E-2</v>
      </c>
      <c r="I467" s="4">
        <v>1.3695765890102881E-2</v>
      </c>
      <c r="J467" s="4">
        <v>1.2919624698737239E-2</v>
      </c>
      <c r="K467" s="4">
        <v>1.2498626209694001E-2</v>
      </c>
      <c r="L467" s="4">
        <v>1.22261773557503E-2</v>
      </c>
      <c r="M467" s="4">
        <v>1.207995172450646E-2</v>
      </c>
      <c r="N467" t="s">
        <v>298</v>
      </c>
      <c r="O467" t="s">
        <v>296</v>
      </c>
      <c r="P467" t="s">
        <v>297</v>
      </c>
      <c r="Q467" t="s">
        <v>245</v>
      </c>
    </row>
    <row r="468" spans="1:17" x14ac:dyDescent="0.25">
      <c r="A468" t="s">
        <v>290</v>
      </c>
      <c r="B468" t="s">
        <v>160</v>
      </c>
      <c r="C468" s="4">
        <v>2.717883754277621E-2</v>
      </c>
      <c r="D468" s="4">
        <v>2.4908994892426518E-2</v>
      </c>
      <c r="E468" s="4">
        <v>2.217018309507094E-2</v>
      </c>
      <c r="F468" s="4">
        <v>1.9971148117463141E-2</v>
      </c>
      <c r="G468" s="4">
        <v>1.7553461972233769E-2</v>
      </c>
      <c r="H468" s="4">
        <v>1.546803381488927E-2</v>
      </c>
      <c r="I468" s="4">
        <v>1.3695765890102881E-2</v>
      </c>
      <c r="J468" s="4">
        <v>1.2919624698737239E-2</v>
      </c>
      <c r="K468" s="4">
        <v>1.2498626209694001E-2</v>
      </c>
      <c r="L468" s="4">
        <v>1.22261773557503E-2</v>
      </c>
      <c r="M468" s="4">
        <v>1.207995172450646E-2</v>
      </c>
      <c r="N468" t="s">
        <v>298</v>
      </c>
      <c r="O468" t="s">
        <v>299</v>
      </c>
      <c r="P468" t="s">
        <v>290</v>
      </c>
      <c r="Q468" t="s">
        <v>245</v>
      </c>
    </row>
    <row r="469" spans="1:17" x14ac:dyDescent="0.25">
      <c r="A469" t="s">
        <v>297</v>
      </c>
      <c r="B469" t="s">
        <v>154</v>
      </c>
      <c r="C469" s="4">
        <v>2.002674337793495E-2</v>
      </c>
      <c r="D469" s="4">
        <v>1.8354208406735389E-2</v>
      </c>
      <c r="E469" s="4">
        <v>1.6336113227360088E-2</v>
      </c>
      <c r="F469" s="4">
        <v>1.47157529339391E-2</v>
      </c>
      <c r="G469" s="4">
        <v>1.2934279391419379E-2</v>
      </c>
      <c r="H469" s="4">
        <v>1.139763035429533E-2</v>
      </c>
      <c r="I469" s="4">
        <v>1.0091733629655019E-2</v>
      </c>
      <c r="J469" s="4">
        <v>9.5198335092006245E-3</v>
      </c>
      <c r="K469" s="4">
        <v>9.2096205102341483E-3</v>
      </c>
      <c r="L469" s="4">
        <v>9.0088664024487973E-3</v>
      </c>
      <c r="M469" s="4">
        <v>8.9011199549567741E-3</v>
      </c>
      <c r="N469" t="s">
        <v>298</v>
      </c>
      <c r="O469" t="s">
        <v>296</v>
      </c>
      <c r="P469" t="s">
        <v>297</v>
      </c>
      <c r="Q469" t="s">
        <v>245</v>
      </c>
    </row>
    <row r="470" spans="1:17" x14ac:dyDescent="0.25">
      <c r="A470" t="s">
        <v>290</v>
      </c>
      <c r="B470" t="s">
        <v>154</v>
      </c>
      <c r="C470" s="4">
        <v>2.002674337793495E-2</v>
      </c>
      <c r="D470" s="4">
        <v>1.8354208406735389E-2</v>
      </c>
      <c r="E470" s="4">
        <v>1.6336113227360088E-2</v>
      </c>
      <c r="F470" s="4">
        <v>1.47157529339391E-2</v>
      </c>
      <c r="G470" s="4">
        <v>1.2934279391419379E-2</v>
      </c>
      <c r="H470" s="4">
        <v>1.139763035429533E-2</v>
      </c>
      <c r="I470" s="4">
        <v>1.0091733629655019E-2</v>
      </c>
      <c r="J470" s="4">
        <v>9.5198335092006245E-3</v>
      </c>
      <c r="K470" s="4">
        <v>9.2096205102341483E-3</v>
      </c>
      <c r="L470" s="4">
        <v>9.0088664024487973E-3</v>
      </c>
      <c r="M470" s="4">
        <v>8.9011199549567741E-3</v>
      </c>
      <c r="N470" t="s">
        <v>298</v>
      </c>
      <c r="O470" t="s">
        <v>299</v>
      </c>
      <c r="P470" t="s">
        <v>290</v>
      </c>
      <c r="Q470" t="s">
        <v>245</v>
      </c>
    </row>
    <row r="471" spans="1:17" x14ac:dyDescent="0.25">
      <c r="A471" t="s">
        <v>297</v>
      </c>
      <c r="B471" t="s">
        <v>98</v>
      </c>
      <c r="C471" s="4">
        <v>0</v>
      </c>
      <c r="D471" s="4">
        <v>2.4577089959674221E-3</v>
      </c>
      <c r="E471" s="4">
        <v>6.5636276002454183E-3</v>
      </c>
      <c r="F471" s="4">
        <v>9.853596627411013E-3</v>
      </c>
      <c r="G471" s="4">
        <v>1.212559101011239E-2</v>
      </c>
      <c r="H471" s="4">
        <v>1.2211210381781809E-2</v>
      </c>
      <c r="I471" s="4">
        <v>1.0812096781343551E-2</v>
      </c>
      <c r="J471" s="4">
        <v>1.019937356860985E-2</v>
      </c>
      <c r="K471" s="4">
        <v>9.8670170983795671E-3</v>
      </c>
      <c r="L471" s="4">
        <v>9.6519328599045089E-3</v>
      </c>
      <c r="M471" s="4">
        <v>9.536495308649055E-3</v>
      </c>
      <c r="N471" t="s">
        <v>298</v>
      </c>
      <c r="O471" t="s">
        <v>296</v>
      </c>
      <c r="P471" t="s">
        <v>297</v>
      </c>
      <c r="Q471" t="s">
        <v>245</v>
      </c>
    </row>
    <row r="472" spans="1:17" x14ac:dyDescent="0.25">
      <c r="A472" t="s">
        <v>290</v>
      </c>
      <c r="B472" t="s">
        <v>98</v>
      </c>
      <c r="C472" s="4">
        <v>0</v>
      </c>
      <c r="D472" s="4">
        <v>2.4577089959674221E-3</v>
      </c>
      <c r="E472" s="4">
        <v>6.5636276002454183E-3</v>
      </c>
      <c r="F472" s="4">
        <v>9.853596627411013E-3</v>
      </c>
      <c r="G472" s="4">
        <v>1.212559101011239E-2</v>
      </c>
      <c r="H472" s="4">
        <v>1.2211210381781809E-2</v>
      </c>
      <c r="I472" s="4">
        <v>1.0812096781343551E-2</v>
      </c>
      <c r="J472" s="4">
        <v>1.019937356860985E-2</v>
      </c>
      <c r="K472" s="4">
        <v>9.8670170983795671E-3</v>
      </c>
      <c r="L472" s="4">
        <v>9.6519328599045089E-3</v>
      </c>
      <c r="M472" s="4">
        <v>9.536495308649055E-3</v>
      </c>
      <c r="N472" t="s">
        <v>298</v>
      </c>
      <c r="O472" t="s">
        <v>299</v>
      </c>
      <c r="P472" t="s">
        <v>290</v>
      </c>
      <c r="Q472" t="s">
        <v>245</v>
      </c>
    </row>
    <row r="473" spans="1:17" x14ac:dyDescent="0.25">
      <c r="A473" t="s">
        <v>297</v>
      </c>
      <c r="B473" t="s">
        <v>141</v>
      </c>
      <c r="C473" s="4">
        <v>3.5760470824206282E-2</v>
      </c>
      <c r="D473" s="4">
        <v>3.2773932428455672E-2</v>
      </c>
      <c r="E473" s="4">
        <v>2.9170349338554259E-2</v>
      </c>
      <c r="F473" s="4">
        <v>2.6276975917620231E-2</v>
      </c>
      <c r="G473" s="4">
        <v>2.3095912904071949E-2</v>
      </c>
      <c r="H473" s="4">
        <v>2.0352017302969691E-2</v>
      </c>
      <c r="I473" s="4">
        <v>1.8020161302239261E-2</v>
      </c>
      <c r="J473" s="4">
        <v>1.6998955947683081E-2</v>
      </c>
      <c r="K473" s="4">
        <v>1.6445028497299279E-2</v>
      </c>
      <c r="L473" s="4">
        <v>1.608655476650752E-2</v>
      </c>
      <c r="M473" s="4">
        <v>1.5894158847748429E-2</v>
      </c>
      <c r="N473" t="s">
        <v>298</v>
      </c>
      <c r="O473" t="s">
        <v>296</v>
      </c>
      <c r="P473" t="s">
        <v>297</v>
      </c>
      <c r="Q473" t="s">
        <v>245</v>
      </c>
    </row>
    <row r="474" spans="1:17" x14ac:dyDescent="0.25">
      <c r="A474" t="s">
        <v>290</v>
      </c>
      <c r="B474" t="s">
        <v>141</v>
      </c>
      <c r="C474" s="4">
        <v>3.5760470824206282E-2</v>
      </c>
      <c r="D474" s="4">
        <v>3.2773932428455672E-2</v>
      </c>
      <c r="E474" s="4">
        <v>2.9170349338554259E-2</v>
      </c>
      <c r="F474" s="4">
        <v>2.6276975917620231E-2</v>
      </c>
      <c r="G474" s="4">
        <v>2.3095912904071949E-2</v>
      </c>
      <c r="H474" s="4">
        <v>2.0352017302969691E-2</v>
      </c>
      <c r="I474" s="4">
        <v>1.8020161302239261E-2</v>
      </c>
      <c r="J474" s="4">
        <v>1.6998955947683081E-2</v>
      </c>
      <c r="K474" s="4">
        <v>1.6445028497299279E-2</v>
      </c>
      <c r="L474" s="4">
        <v>1.608655476650752E-2</v>
      </c>
      <c r="M474" s="4">
        <v>1.5894158847748429E-2</v>
      </c>
      <c r="N474" t="s">
        <v>298</v>
      </c>
      <c r="O474" t="s">
        <v>299</v>
      </c>
      <c r="P474" t="s">
        <v>290</v>
      </c>
      <c r="Q474" t="s">
        <v>245</v>
      </c>
    </row>
    <row r="475" spans="1:17" x14ac:dyDescent="0.25">
      <c r="A475" t="s">
        <v>297</v>
      </c>
      <c r="B475" t="s">
        <v>161</v>
      </c>
      <c r="C475" s="4">
        <v>1.6092944967875691E-2</v>
      </c>
      <c r="D475" s="4">
        <v>1.4748941465138559E-2</v>
      </c>
      <c r="E475" s="4">
        <v>1.312725520049084E-2</v>
      </c>
      <c r="F475" s="4">
        <v>1.1825177846322249E-2</v>
      </c>
      <c r="G475" s="4">
        <v>1.0393634277781619E-2</v>
      </c>
      <c r="H475" s="4">
        <v>9.158825006863278E-3</v>
      </c>
      <c r="I475" s="4">
        <v>8.1094420030085324E-3</v>
      </c>
      <c r="J475" s="4">
        <v>7.6498786585391353E-3</v>
      </c>
      <c r="K475" s="4">
        <v>7.4005999502401356E-3</v>
      </c>
      <c r="L475" s="4">
        <v>7.2392794225988721E-3</v>
      </c>
      <c r="M475" s="4">
        <v>7.1526973150015053E-3</v>
      </c>
      <c r="N475" t="s">
        <v>298</v>
      </c>
      <c r="O475" t="s">
        <v>296</v>
      </c>
      <c r="P475" t="s">
        <v>297</v>
      </c>
      <c r="Q475" t="s">
        <v>245</v>
      </c>
    </row>
    <row r="476" spans="1:17" x14ac:dyDescent="0.25">
      <c r="A476" t="s">
        <v>290</v>
      </c>
      <c r="B476" t="s">
        <v>161</v>
      </c>
      <c r="C476" s="4">
        <v>1.6092944967875691E-2</v>
      </c>
      <c r="D476" s="4">
        <v>1.4748941465138559E-2</v>
      </c>
      <c r="E476" s="4">
        <v>1.312725520049084E-2</v>
      </c>
      <c r="F476" s="4">
        <v>1.1825177846322249E-2</v>
      </c>
      <c r="G476" s="4">
        <v>1.0393634277781619E-2</v>
      </c>
      <c r="H476" s="4">
        <v>9.158825006863278E-3</v>
      </c>
      <c r="I476" s="4">
        <v>8.1094420030085324E-3</v>
      </c>
      <c r="J476" s="4">
        <v>7.6498786585391353E-3</v>
      </c>
      <c r="K476" s="4">
        <v>7.4005999502401356E-3</v>
      </c>
      <c r="L476" s="4">
        <v>7.2392794225988721E-3</v>
      </c>
      <c r="M476" s="4">
        <v>7.1526973150015053E-3</v>
      </c>
      <c r="N476" t="s">
        <v>298</v>
      </c>
      <c r="O476" t="s">
        <v>299</v>
      </c>
      <c r="P476" t="s">
        <v>290</v>
      </c>
      <c r="Q476" t="s">
        <v>245</v>
      </c>
    </row>
    <row r="477" spans="1:17" x14ac:dyDescent="0.25">
      <c r="A477" t="s">
        <v>297</v>
      </c>
      <c r="B477" t="s">
        <v>175</v>
      </c>
      <c r="C477" s="4">
        <v>0</v>
      </c>
      <c r="D477" s="4">
        <v>0</v>
      </c>
      <c r="E477" s="4">
        <v>0</v>
      </c>
      <c r="F477" s="4">
        <v>0</v>
      </c>
      <c r="G477" s="4">
        <v>0</v>
      </c>
      <c r="H477" s="4">
        <v>2.0352017302969691E-3</v>
      </c>
      <c r="I477" s="4">
        <v>5.4060483906717771E-3</v>
      </c>
      <c r="J477" s="4">
        <v>8.4994779738415405E-3</v>
      </c>
      <c r="K477" s="4">
        <v>1.15115199481095E-2</v>
      </c>
      <c r="L477" s="4">
        <v>1.286924381320601E-2</v>
      </c>
      <c r="M477" s="4">
        <v>1.2715327078198739E-2</v>
      </c>
      <c r="N477" t="s">
        <v>298</v>
      </c>
      <c r="O477" t="s">
        <v>296</v>
      </c>
      <c r="P477" t="s">
        <v>297</v>
      </c>
      <c r="Q477" t="s">
        <v>245</v>
      </c>
    </row>
    <row r="478" spans="1:17" x14ac:dyDescent="0.25">
      <c r="A478" t="s">
        <v>290</v>
      </c>
      <c r="B478" t="s">
        <v>175</v>
      </c>
      <c r="C478" s="4">
        <v>0</v>
      </c>
      <c r="D478" s="4">
        <v>0</v>
      </c>
      <c r="E478" s="4">
        <v>0</v>
      </c>
      <c r="F478" s="4">
        <v>0</v>
      </c>
      <c r="G478" s="4">
        <v>0</v>
      </c>
      <c r="H478" s="4">
        <v>2.0352017302969691E-3</v>
      </c>
      <c r="I478" s="4">
        <v>5.4060483906717771E-3</v>
      </c>
      <c r="J478" s="4">
        <v>8.4994779738415405E-3</v>
      </c>
      <c r="K478" s="4">
        <v>1.15115199481095E-2</v>
      </c>
      <c r="L478" s="4">
        <v>1.286924381320601E-2</v>
      </c>
      <c r="M478" s="4">
        <v>1.2715327078198739E-2</v>
      </c>
      <c r="N478" t="s">
        <v>298</v>
      </c>
      <c r="O478" t="s">
        <v>299</v>
      </c>
      <c r="P478" t="s">
        <v>290</v>
      </c>
      <c r="Q478" t="s">
        <v>245</v>
      </c>
    </row>
    <row r="479" spans="1:17" x14ac:dyDescent="0.25">
      <c r="A479" t="s">
        <v>297</v>
      </c>
      <c r="B479" t="s">
        <v>162</v>
      </c>
      <c r="C479" s="4">
        <v>2.740023283160176E-2</v>
      </c>
      <c r="D479" s="4">
        <v>2.511190033714554E-2</v>
      </c>
      <c r="E479" s="4">
        <v>2.235077853378032E-2</v>
      </c>
      <c r="F479" s="4">
        <v>2.013383050219298E-2</v>
      </c>
      <c r="G479" s="4">
        <v>1.7696450198905141E-2</v>
      </c>
      <c r="H479" s="4">
        <v>1.5594034414017939E-2</v>
      </c>
      <c r="I479" s="4">
        <v>1.3807329824364381E-2</v>
      </c>
      <c r="J479" s="4">
        <v>1.3024866287425231E-2</v>
      </c>
      <c r="K479" s="4">
        <v>1.2600438399242681E-2</v>
      </c>
      <c r="L479" s="4">
        <v>1.232577021223831E-2</v>
      </c>
      <c r="M479" s="4">
        <v>1.217835344595009E-2</v>
      </c>
      <c r="N479" t="s">
        <v>298</v>
      </c>
      <c r="O479" t="s">
        <v>296</v>
      </c>
      <c r="P479" t="s">
        <v>297</v>
      </c>
      <c r="Q479" t="s">
        <v>245</v>
      </c>
    </row>
    <row r="480" spans="1:17" x14ac:dyDescent="0.25">
      <c r="A480" t="s">
        <v>290</v>
      </c>
      <c r="B480" t="s">
        <v>162</v>
      </c>
      <c r="C480" s="4">
        <v>2.740023283160176E-2</v>
      </c>
      <c r="D480" s="4">
        <v>2.511190033714554E-2</v>
      </c>
      <c r="E480" s="4">
        <v>2.235077853378032E-2</v>
      </c>
      <c r="F480" s="4">
        <v>2.013383050219298E-2</v>
      </c>
      <c r="G480" s="4">
        <v>1.7696450198905141E-2</v>
      </c>
      <c r="H480" s="4">
        <v>1.5594034414017939E-2</v>
      </c>
      <c r="I480" s="4">
        <v>1.3807329824364381E-2</v>
      </c>
      <c r="J480" s="4">
        <v>1.3024866287425231E-2</v>
      </c>
      <c r="K480" s="4">
        <v>1.2600438399242681E-2</v>
      </c>
      <c r="L480" s="4">
        <v>1.232577021223831E-2</v>
      </c>
      <c r="M480" s="4">
        <v>1.217835344595009E-2</v>
      </c>
      <c r="N480" t="s">
        <v>298</v>
      </c>
      <c r="O480" t="s">
        <v>299</v>
      </c>
      <c r="P480" t="s">
        <v>290</v>
      </c>
      <c r="Q480" t="s">
        <v>245</v>
      </c>
    </row>
    <row r="481" spans="1:17" x14ac:dyDescent="0.25">
      <c r="A481" t="s">
        <v>297</v>
      </c>
      <c r="B481" t="s">
        <v>155</v>
      </c>
      <c r="C481" s="4">
        <v>2.0419683360751159E-2</v>
      </c>
      <c r="D481" s="4">
        <v>1.8714331977494961E-2</v>
      </c>
      <c r="E481" s="4">
        <v>1.6656640231162159E-2</v>
      </c>
      <c r="F481" s="4">
        <v>1.50044872326649E-2</v>
      </c>
      <c r="G481" s="4">
        <v>1.3188059820213611E-2</v>
      </c>
      <c r="H481" s="4">
        <v>1.162126055672238E-2</v>
      </c>
      <c r="I481" s="4">
        <v>1.028974114211915E-2</v>
      </c>
      <c r="J481" s="4">
        <v>9.7066199050177236E-3</v>
      </c>
      <c r="K481" s="4">
        <v>9.3903202903602729E-3</v>
      </c>
      <c r="L481" s="4">
        <v>9.1856272338314959E-3</v>
      </c>
      <c r="M481" s="4">
        <v>9.0757667188434733E-3</v>
      </c>
      <c r="N481" t="s">
        <v>298</v>
      </c>
      <c r="O481" t="s">
        <v>296</v>
      </c>
      <c r="P481" t="s">
        <v>297</v>
      </c>
      <c r="Q481" t="s">
        <v>245</v>
      </c>
    </row>
    <row r="482" spans="1:17" x14ac:dyDescent="0.25">
      <c r="A482" t="s">
        <v>290</v>
      </c>
      <c r="B482" t="s">
        <v>155</v>
      </c>
      <c r="C482" s="4">
        <v>2.0419683360751159E-2</v>
      </c>
      <c r="D482" s="4">
        <v>1.8714331977494961E-2</v>
      </c>
      <c r="E482" s="4">
        <v>1.6656640231162159E-2</v>
      </c>
      <c r="F482" s="4">
        <v>1.50044872326649E-2</v>
      </c>
      <c r="G482" s="4">
        <v>1.3188059820213611E-2</v>
      </c>
      <c r="H482" s="4">
        <v>1.162126055672238E-2</v>
      </c>
      <c r="I482" s="4">
        <v>1.028974114211915E-2</v>
      </c>
      <c r="J482" s="4">
        <v>9.7066199050177236E-3</v>
      </c>
      <c r="K482" s="4">
        <v>9.3903202903602729E-3</v>
      </c>
      <c r="L482" s="4">
        <v>9.1856272338314959E-3</v>
      </c>
      <c r="M482" s="4">
        <v>9.0757667188434733E-3</v>
      </c>
      <c r="N482" t="s">
        <v>298</v>
      </c>
      <c r="O482" t="s">
        <v>299</v>
      </c>
      <c r="P482" t="s">
        <v>290</v>
      </c>
      <c r="Q482" t="s">
        <v>245</v>
      </c>
    </row>
    <row r="483" spans="1:17" x14ac:dyDescent="0.25">
      <c r="A483" t="s">
        <v>297</v>
      </c>
      <c r="B483" t="s">
        <v>156</v>
      </c>
      <c r="C483" s="4">
        <v>3.5760470824206282E-2</v>
      </c>
      <c r="D483" s="4">
        <v>3.2773932428455672E-2</v>
      </c>
      <c r="E483" s="4">
        <v>2.9170349338554259E-2</v>
      </c>
      <c r="F483" s="4">
        <v>2.6276975917620231E-2</v>
      </c>
      <c r="G483" s="4">
        <v>2.3095912904071949E-2</v>
      </c>
      <c r="H483" s="4">
        <v>2.0352017302969691E-2</v>
      </c>
      <c r="I483" s="4">
        <v>1.8020161302239261E-2</v>
      </c>
      <c r="J483" s="4">
        <v>1.6998955947683081E-2</v>
      </c>
      <c r="K483" s="4">
        <v>1.6445028497299279E-2</v>
      </c>
      <c r="L483" s="4">
        <v>1.608655476650752E-2</v>
      </c>
      <c r="M483" s="4">
        <v>1.5894158847748429E-2</v>
      </c>
      <c r="N483" t="s">
        <v>298</v>
      </c>
      <c r="O483" t="s">
        <v>296</v>
      </c>
      <c r="P483" t="s">
        <v>297</v>
      </c>
      <c r="Q483" t="s">
        <v>245</v>
      </c>
    </row>
    <row r="484" spans="1:17" x14ac:dyDescent="0.25">
      <c r="A484" t="s">
        <v>290</v>
      </c>
      <c r="B484" t="s">
        <v>156</v>
      </c>
      <c r="C484" s="4">
        <v>3.5760470824206282E-2</v>
      </c>
      <c r="D484" s="4">
        <v>3.2773932428455672E-2</v>
      </c>
      <c r="E484" s="4">
        <v>2.9170349338554259E-2</v>
      </c>
      <c r="F484" s="4">
        <v>2.6276975917620231E-2</v>
      </c>
      <c r="G484" s="4">
        <v>2.3095912904071949E-2</v>
      </c>
      <c r="H484" s="4">
        <v>2.0352017302969691E-2</v>
      </c>
      <c r="I484" s="4">
        <v>1.8020161302239261E-2</v>
      </c>
      <c r="J484" s="4">
        <v>1.6998955947683081E-2</v>
      </c>
      <c r="K484" s="4">
        <v>1.6445028497299279E-2</v>
      </c>
      <c r="L484" s="4">
        <v>1.608655476650752E-2</v>
      </c>
      <c r="M484" s="4">
        <v>1.5894158847748429E-2</v>
      </c>
      <c r="N484" t="s">
        <v>298</v>
      </c>
      <c r="O484" t="s">
        <v>299</v>
      </c>
      <c r="P484" t="s">
        <v>290</v>
      </c>
      <c r="Q484" t="s">
        <v>245</v>
      </c>
    </row>
    <row r="485" spans="1:17" x14ac:dyDescent="0.25">
      <c r="A485" t="s">
        <v>297</v>
      </c>
      <c r="B485" t="s">
        <v>107</v>
      </c>
      <c r="C485" s="4">
        <v>2.8608376659365019E-2</v>
      </c>
      <c r="D485" s="4">
        <v>2.6219145942764539E-2</v>
      </c>
      <c r="E485" s="4">
        <v>2.33362794708434E-2</v>
      </c>
      <c r="F485" s="4">
        <v>2.1021580734096181E-2</v>
      </c>
      <c r="G485" s="4">
        <v>1.847673032325756E-2</v>
      </c>
      <c r="H485" s="4">
        <v>1.6281613842375749E-2</v>
      </c>
      <c r="I485" s="4">
        <v>1.441612904179141E-2</v>
      </c>
      <c r="J485" s="4">
        <v>1.359916475814647E-2</v>
      </c>
      <c r="K485" s="4">
        <v>1.3156022797839419E-2</v>
      </c>
      <c r="L485" s="4">
        <v>1.286924381320601E-2</v>
      </c>
      <c r="M485" s="4">
        <v>1.2715327078198739E-2</v>
      </c>
      <c r="N485" t="s">
        <v>298</v>
      </c>
      <c r="O485" t="s">
        <v>296</v>
      </c>
      <c r="P485" t="s">
        <v>297</v>
      </c>
      <c r="Q485" t="s">
        <v>245</v>
      </c>
    </row>
    <row r="486" spans="1:17" x14ac:dyDescent="0.25">
      <c r="A486" t="s">
        <v>290</v>
      </c>
      <c r="B486" t="s">
        <v>107</v>
      </c>
      <c r="C486" s="4">
        <v>2.8608376659365019E-2</v>
      </c>
      <c r="D486" s="4">
        <v>2.6219145942764539E-2</v>
      </c>
      <c r="E486" s="4">
        <v>2.33362794708434E-2</v>
      </c>
      <c r="F486" s="4">
        <v>2.1021580734096181E-2</v>
      </c>
      <c r="G486" s="4">
        <v>1.847673032325756E-2</v>
      </c>
      <c r="H486" s="4">
        <v>1.6281613842375749E-2</v>
      </c>
      <c r="I486" s="4">
        <v>1.441612904179141E-2</v>
      </c>
      <c r="J486" s="4">
        <v>1.359916475814647E-2</v>
      </c>
      <c r="K486" s="4">
        <v>1.3156022797839419E-2</v>
      </c>
      <c r="L486" s="4">
        <v>1.286924381320601E-2</v>
      </c>
      <c r="M486" s="4">
        <v>1.2715327078198739E-2</v>
      </c>
      <c r="N486" t="s">
        <v>298</v>
      </c>
      <c r="O486" t="s">
        <v>299</v>
      </c>
      <c r="P486" t="s">
        <v>290</v>
      </c>
      <c r="Q486" t="s">
        <v>245</v>
      </c>
    </row>
    <row r="487" spans="1:17" x14ac:dyDescent="0.25">
      <c r="A487" t="s">
        <v>297</v>
      </c>
      <c r="B487" t="s">
        <v>137</v>
      </c>
      <c r="C487" s="4">
        <v>0</v>
      </c>
      <c r="D487" s="4">
        <v>0</v>
      </c>
      <c r="E487" s="4">
        <v>0</v>
      </c>
      <c r="F487" s="4">
        <v>0</v>
      </c>
      <c r="G487" s="4">
        <v>0</v>
      </c>
      <c r="H487" s="4">
        <v>0</v>
      </c>
      <c r="I487" s="4">
        <v>0</v>
      </c>
      <c r="J487" s="4">
        <v>0</v>
      </c>
      <c r="K487" s="4">
        <v>0</v>
      </c>
      <c r="L487" s="4">
        <v>0</v>
      </c>
      <c r="M487" s="4">
        <v>0</v>
      </c>
      <c r="N487" t="s">
        <v>298</v>
      </c>
      <c r="O487" t="s">
        <v>296</v>
      </c>
      <c r="P487" t="s">
        <v>297</v>
      </c>
      <c r="Q487" t="s">
        <v>245</v>
      </c>
    </row>
    <row r="488" spans="1:17" x14ac:dyDescent="0.25">
      <c r="A488" t="s">
        <v>290</v>
      </c>
      <c r="B488" t="s">
        <v>137</v>
      </c>
      <c r="C488" s="4">
        <v>0</v>
      </c>
      <c r="D488" s="4">
        <v>0</v>
      </c>
      <c r="E488" s="4">
        <v>0</v>
      </c>
      <c r="F488" s="4">
        <v>0</v>
      </c>
      <c r="G488" s="4">
        <v>0</v>
      </c>
      <c r="H488" s="4">
        <v>0</v>
      </c>
      <c r="I488" s="4">
        <v>0</v>
      </c>
      <c r="J488" s="4">
        <v>0</v>
      </c>
      <c r="K488" s="4">
        <v>0</v>
      </c>
      <c r="L488" s="4">
        <v>0</v>
      </c>
      <c r="M488" s="4">
        <v>0</v>
      </c>
      <c r="N488" t="s">
        <v>298</v>
      </c>
      <c r="O488" t="s">
        <v>299</v>
      </c>
      <c r="P488" t="s">
        <v>290</v>
      </c>
      <c r="Q488" t="s">
        <v>245</v>
      </c>
    </row>
    <row r="489" spans="1:17" x14ac:dyDescent="0.25">
      <c r="A489" t="s">
        <v>297</v>
      </c>
      <c r="B489" t="s">
        <v>112</v>
      </c>
      <c r="C489" s="4">
        <v>3.5760470824206282E-3</v>
      </c>
      <c r="D489" s="4">
        <v>3.277393242845567E-3</v>
      </c>
      <c r="E489" s="4">
        <v>2.9170349338554251E-3</v>
      </c>
      <c r="F489" s="4">
        <v>2.6276975917620231E-3</v>
      </c>
      <c r="G489" s="4">
        <v>2.309591290407195E-3</v>
      </c>
      <c r="H489" s="4">
        <v>2.0352017302969691E-3</v>
      </c>
      <c r="I489" s="4">
        <v>1.8020161302239261E-3</v>
      </c>
      <c r="J489" s="4">
        <v>1.6998955947683081E-3</v>
      </c>
      <c r="K489" s="4">
        <v>1.6445028497299281E-3</v>
      </c>
      <c r="L489" s="4">
        <v>1.6086554766507511E-3</v>
      </c>
      <c r="M489" s="4">
        <v>1.589415884774842E-3</v>
      </c>
      <c r="N489" t="s">
        <v>298</v>
      </c>
      <c r="O489" t="s">
        <v>296</v>
      </c>
      <c r="P489" t="s">
        <v>297</v>
      </c>
      <c r="Q489" t="s">
        <v>245</v>
      </c>
    </row>
    <row r="490" spans="1:17" x14ac:dyDescent="0.25">
      <c r="A490" t="s">
        <v>290</v>
      </c>
      <c r="B490" t="s">
        <v>112</v>
      </c>
      <c r="C490" s="4">
        <v>3.5760470824206282E-3</v>
      </c>
      <c r="D490" s="4">
        <v>3.277393242845567E-3</v>
      </c>
      <c r="E490" s="4">
        <v>2.9170349338554251E-3</v>
      </c>
      <c r="F490" s="4">
        <v>2.6276975917620231E-3</v>
      </c>
      <c r="G490" s="4">
        <v>2.309591290407195E-3</v>
      </c>
      <c r="H490" s="4">
        <v>2.0352017302969691E-3</v>
      </c>
      <c r="I490" s="4">
        <v>1.8020161302239261E-3</v>
      </c>
      <c r="J490" s="4">
        <v>1.6998955947683081E-3</v>
      </c>
      <c r="K490" s="4">
        <v>1.6445028497299281E-3</v>
      </c>
      <c r="L490" s="4">
        <v>1.6086554766507511E-3</v>
      </c>
      <c r="M490" s="4">
        <v>1.589415884774842E-3</v>
      </c>
      <c r="N490" t="s">
        <v>298</v>
      </c>
      <c r="O490" t="s">
        <v>299</v>
      </c>
      <c r="P490" t="s">
        <v>290</v>
      </c>
      <c r="Q490" t="s">
        <v>245</v>
      </c>
    </row>
    <row r="491" spans="1:17" x14ac:dyDescent="0.25">
      <c r="A491" t="s">
        <v>297</v>
      </c>
      <c r="B491" t="s">
        <v>142</v>
      </c>
      <c r="C491" s="4">
        <v>0</v>
      </c>
      <c r="D491" s="4">
        <v>0</v>
      </c>
      <c r="E491" s="4">
        <v>0</v>
      </c>
      <c r="F491" s="4">
        <v>0</v>
      </c>
      <c r="G491" s="4">
        <v>0</v>
      </c>
      <c r="H491" s="4">
        <v>0</v>
      </c>
      <c r="I491" s="4">
        <v>0</v>
      </c>
      <c r="J491" s="4">
        <v>0</v>
      </c>
      <c r="K491" s="4">
        <v>0</v>
      </c>
      <c r="L491" s="4">
        <v>0</v>
      </c>
      <c r="M491" s="4">
        <v>0</v>
      </c>
      <c r="N491" t="s">
        <v>298</v>
      </c>
      <c r="O491" t="s">
        <v>296</v>
      </c>
      <c r="P491" t="s">
        <v>297</v>
      </c>
      <c r="Q491" t="s">
        <v>245</v>
      </c>
    </row>
    <row r="492" spans="1:17" x14ac:dyDescent="0.25">
      <c r="A492" t="s">
        <v>290</v>
      </c>
      <c r="B492" t="s">
        <v>142</v>
      </c>
      <c r="C492" s="4">
        <v>0</v>
      </c>
      <c r="D492" s="4">
        <v>0</v>
      </c>
      <c r="E492" s="4">
        <v>0</v>
      </c>
      <c r="F492" s="4">
        <v>0</v>
      </c>
      <c r="G492" s="4">
        <v>0</v>
      </c>
      <c r="H492" s="4">
        <v>0</v>
      </c>
      <c r="I492" s="4">
        <v>0</v>
      </c>
      <c r="J492" s="4">
        <v>0</v>
      </c>
      <c r="K492" s="4">
        <v>0</v>
      </c>
      <c r="L492" s="4">
        <v>0</v>
      </c>
      <c r="M492" s="4">
        <v>0</v>
      </c>
      <c r="N492" t="s">
        <v>298</v>
      </c>
      <c r="O492" t="s">
        <v>299</v>
      </c>
      <c r="P492" t="s">
        <v>290</v>
      </c>
      <c r="Q492" t="s">
        <v>245</v>
      </c>
    </row>
    <row r="493" spans="1:17" x14ac:dyDescent="0.25">
      <c r="A493" t="s">
        <v>297</v>
      </c>
      <c r="B493" t="s">
        <v>113</v>
      </c>
      <c r="C493" s="4">
        <v>0</v>
      </c>
      <c r="D493" s="4">
        <v>0</v>
      </c>
      <c r="E493" s="4">
        <v>2.224553086089009E-3</v>
      </c>
      <c r="F493" s="4">
        <v>5.008678189463568E-3</v>
      </c>
      <c r="G493" s="4">
        <v>6.1636448172449482E-3</v>
      </c>
      <c r="H493" s="4">
        <v>6.2074069994584478E-3</v>
      </c>
      <c r="I493" s="4">
        <v>6.4418936610997988E-3</v>
      </c>
      <c r="J493" s="4">
        <v>7.8617557642421138E-3</v>
      </c>
      <c r="K493" s="4">
        <v>9.3323345400212927E-3</v>
      </c>
      <c r="L493" s="4">
        <v>1.0818026702757531E-2</v>
      </c>
      <c r="M493" s="4">
        <v>1.1523428081374959E-2</v>
      </c>
      <c r="N493" t="s">
        <v>298</v>
      </c>
      <c r="O493" t="s">
        <v>296</v>
      </c>
      <c r="P493" t="s">
        <v>297</v>
      </c>
      <c r="Q493" t="s">
        <v>245</v>
      </c>
    </row>
    <row r="494" spans="1:17" x14ac:dyDescent="0.25">
      <c r="A494" t="s">
        <v>290</v>
      </c>
      <c r="B494" t="s">
        <v>113</v>
      </c>
      <c r="C494" s="4">
        <v>0</v>
      </c>
      <c r="D494" s="4">
        <v>0</v>
      </c>
      <c r="E494" s="4">
        <v>2.224553086089009E-3</v>
      </c>
      <c r="F494" s="4">
        <v>5.008678189463568E-3</v>
      </c>
      <c r="G494" s="4">
        <v>6.1636448172449482E-3</v>
      </c>
      <c r="H494" s="4">
        <v>6.2074069994584478E-3</v>
      </c>
      <c r="I494" s="4">
        <v>6.4418936610997988E-3</v>
      </c>
      <c r="J494" s="4">
        <v>7.8617557642421138E-3</v>
      </c>
      <c r="K494" s="4">
        <v>9.3323345400212927E-3</v>
      </c>
      <c r="L494" s="4">
        <v>1.0818026702757531E-2</v>
      </c>
      <c r="M494" s="4">
        <v>1.1523428081374959E-2</v>
      </c>
      <c r="N494" t="s">
        <v>298</v>
      </c>
      <c r="O494" t="s">
        <v>299</v>
      </c>
      <c r="P494" t="s">
        <v>290</v>
      </c>
      <c r="Q494" t="s">
        <v>245</v>
      </c>
    </row>
    <row r="495" spans="1:17" x14ac:dyDescent="0.25">
      <c r="A495" t="s">
        <v>297</v>
      </c>
      <c r="B495" t="s">
        <v>143</v>
      </c>
      <c r="C495" s="4">
        <v>0</v>
      </c>
      <c r="D495" s="4">
        <v>0</v>
      </c>
      <c r="E495" s="4">
        <v>0</v>
      </c>
      <c r="F495" s="4">
        <v>0</v>
      </c>
      <c r="G495" s="4">
        <v>0</v>
      </c>
      <c r="H495" s="4">
        <v>0</v>
      </c>
      <c r="I495" s="4">
        <v>0</v>
      </c>
      <c r="J495" s="4">
        <v>0</v>
      </c>
      <c r="K495" s="4">
        <v>0</v>
      </c>
      <c r="L495" s="4">
        <v>0</v>
      </c>
      <c r="M495" s="4">
        <v>0</v>
      </c>
      <c r="N495" t="s">
        <v>298</v>
      </c>
      <c r="O495" t="s">
        <v>296</v>
      </c>
      <c r="P495" t="s">
        <v>297</v>
      </c>
      <c r="Q495" t="s">
        <v>245</v>
      </c>
    </row>
    <row r="496" spans="1:17" x14ac:dyDescent="0.25">
      <c r="A496" t="s">
        <v>290</v>
      </c>
      <c r="B496" t="s">
        <v>143</v>
      </c>
      <c r="C496" s="4">
        <v>0</v>
      </c>
      <c r="D496" s="4">
        <v>0</v>
      </c>
      <c r="E496" s="4">
        <v>0</v>
      </c>
      <c r="F496" s="4">
        <v>0</v>
      </c>
      <c r="G496" s="4">
        <v>0</v>
      </c>
      <c r="H496" s="4">
        <v>0</v>
      </c>
      <c r="I496" s="4">
        <v>0</v>
      </c>
      <c r="J496" s="4">
        <v>0</v>
      </c>
      <c r="K496" s="4">
        <v>0</v>
      </c>
      <c r="L496" s="4">
        <v>0</v>
      </c>
      <c r="M496" s="4">
        <v>0</v>
      </c>
      <c r="N496" t="s">
        <v>298</v>
      </c>
      <c r="O496" t="s">
        <v>299</v>
      </c>
      <c r="P496" t="s">
        <v>290</v>
      </c>
      <c r="Q496" t="s">
        <v>245</v>
      </c>
    </row>
    <row r="497" spans="1:18" x14ac:dyDescent="0.25">
      <c r="A497" t="s">
        <v>297</v>
      </c>
      <c r="B497" t="s">
        <v>158</v>
      </c>
      <c r="C497" s="4">
        <v>0</v>
      </c>
      <c r="D497" s="4">
        <v>0</v>
      </c>
      <c r="E497" s="4">
        <v>0</v>
      </c>
      <c r="F497" s="4">
        <v>0</v>
      </c>
      <c r="G497" s="4">
        <v>0</v>
      </c>
      <c r="H497" s="4">
        <v>0</v>
      </c>
      <c r="I497" s="4">
        <v>0</v>
      </c>
      <c r="J497" s="4">
        <v>0</v>
      </c>
      <c r="K497" s="4">
        <v>0</v>
      </c>
      <c r="L497" s="4">
        <v>0</v>
      </c>
      <c r="M497" s="4">
        <v>0</v>
      </c>
      <c r="N497" t="s">
        <v>298</v>
      </c>
      <c r="O497" t="s">
        <v>296</v>
      </c>
      <c r="P497" t="s">
        <v>297</v>
      </c>
      <c r="Q497" t="s">
        <v>245</v>
      </c>
    </row>
    <row r="498" spans="1:18" x14ac:dyDescent="0.25">
      <c r="A498" t="s">
        <v>290</v>
      </c>
      <c r="B498" t="s">
        <v>158</v>
      </c>
      <c r="C498" s="4">
        <v>0</v>
      </c>
      <c r="D498" s="4">
        <v>0</v>
      </c>
      <c r="E498" s="4">
        <v>0</v>
      </c>
      <c r="F498" s="4">
        <v>0</v>
      </c>
      <c r="G498" s="4">
        <v>0</v>
      </c>
      <c r="H498" s="4">
        <v>0</v>
      </c>
      <c r="I498" s="4">
        <v>0</v>
      </c>
      <c r="J498" s="4">
        <v>0</v>
      </c>
      <c r="K498" s="4">
        <v>0</v>
      </c>
      <c r="L498" s="4">
        <v>0</v>
      </c>
      <c r="M498" s="4">
        <v>0</v>
      </c>
      <c r="N498" t="s">
        <v>298</v>
      </c>
      <c r="O498" t="s">
        <v>299</v>
      </c>
      <c r="P498" t="s">
        <v>290</v>
      </c>
      <c r="Q498" t="s">
        <v>245</v>
      </c>
    </row>
    <row r="499" spans="1:18" x14ac:dyDescent="0.25">
      <c r="A499" t="s">
        <v>297</v>
      </c>
      <c r="B499" t="s">
        <v>163</v>
      </c>
      <c r="C499" s="4">
        <v>0</v>
      </c>
      <c r="D499" s="4">
        <v>0</v>
      </c>
      <c r="E499" s="4">
        <v>0</v>
      </c>
      <c r="F499" s="4">
        <v>0</v>
      </c>
      <c r="G499" s="4">
        <v>0</v>
      </c>
      <c r="H499" s="4">
        <v>0</v>
      </c>
      <c r="I499" s="4">
        <v>0</v>
      </c>
      <c r="J499" s="4">
        <v>0</v>
      </c>
      <c r="K499" s="4">
        <v>0</v>
      </c>
      <c r="L499" s="4">
        <v>0</v>
      </c>
      <c r="M499" s="4">
        <v>0</v>
      </c>
      <c r="N499" t="s">
        <v>298</v>
      </c>
      <c r="O499" t="s">
        <v>296</v>
      </c>
      <c r="P499" t="s">
        <v>297</v>
      </c>
      <c r="Q499" t="s">
        <v>245</v>
      </c>
    </row>
    <row r="500" spans="1:18" x14ac:dyDescent="0.25">
      <c r="A500" t="s">
        <v>290</v>
      </c>
      <c r="B500" t="s">
        <v>163</v>
      </c>
      <c r="C500" s="4">
        <v>0</v>
      </c>
      <c r="D500" s="4">
        <v>0</v>
      </c>
      <c r="E500" s="4">
        <v>0</v>
      </c>
      <c r="F500" s="4">
        <v>0</v>
      </c>
      <c r="G500" s="4">
        <v>0</v>
      </c>
      <c r="H500" s="4">
        <v>0</v>
      </c>
      <c r="I500" s="4">
        <v>0</v>
      </c>
      <c r="J500" s="4">
        <v>0</v>
      </c>
      <c r="K500" s="4">
        <v>0</v>
      </c>
      <c r="L500" s="4">
        <v>0</v>
      </c>
      <c r="M500" s="4">
        <v>0</v>
      </c>
      <c r="N500" t="s">
        <v>298</v>
      </c>
      <c r="O500" t="s">
        <v>299</v>
      </c>
      <c r="P500" t="s">
        <v>290</v>
      </c>
      <c r="Q500" t="s">
        <v>245</v>
      </c>
    </row>
    <row r="501" spans="1:18" x14ac:dyDescent="0.25">
      <c r="A501" t="s">
        <v>297</v>
      </c>
      <c r="B501" t="s">
        <v>91</v>
      </c>
      <c r="C501" s="4">
        <v>0</v>
      </c>
      <c r="D501" s="4">
        <v>0</v>
      </c>
      <c r="E501" s="4">
        <v>0</v>
      </c>
      <c r="F501" s="4">
        <v>0</v>
      </c>
      <c r="G501" s="4">
        <v>0</v>
      </c>
      <c r="H501" s="4">
        <v>0</v>
      </c>
      <c r="I501" s="4">
        <v>0</v>
      </c>
      <c r="J501" s="4">
        <v>0</v>
      </c>
      <c r="K501" s="4">
        <v>0</v>
      </c>
      <c r="L501" s="4">
        <v>0</v>
      </c>
      <c r="M501" s="4">
        <v>0</v>
      </c>
      <c r="N501" t="s">
        <v>298</v>
      </c>
      <c r="O501" t="s">
        <v>296</v>
      </c>
      <c r="P501" t="s">
        <v>297</v>
      </c>
      <c r="Q501" t="s">
        <v>245</v>
      </c>
    </row>
    <row r="502" spans="1:18" x14ac:dyDescent="0.25">
      <c r="A502" t="s">
        <v>290</v>
      </c>
      <c r="B502" t="s">
        <v>91</v>
      </c>
      <c r="C502" s="4">
        <v>0</v>
      </c>
      <c r="D502" s="4">
        <v>0</v>
      </c>
      <c r="E502" s="4">
        <v>0</v>
      </c>
      <c r="F502" s="4">
        <v>0</v>
      </c>
      <c r="G502" s="4">
        <v>0</v>
      </c>
      <c r="H502" s="4">
        <v>0</v>
      </c>
      <c r="I502" s="4">
        <v>0</v>
      </c>
      <c r="J502" s="4">
        <v>0</v>
      </c>
      <c r="K502" s="4">
        <v>0</v>
      </c>
      <c r="L502" s="4">
        <v>0</v>
      </c>
      <c r="M502" s="4">
        <v>0</v>
      </c>
      <c r="N502" t="s">
        <v>298</v>
      </c>
      <c r="O502" t="s">
        <v>299</v>
      </c>
      <c r="P502" t="s">
        <v>290</v>
      </c>
      <c r="Q502" t="s">
        <v>245</v>
      </c>
    </row>
    <row r="503" spans="1:18" x14ac:dyDescent="0.25">
      <c r="A503" t="s">
        <v>297</v>
      </c>
      <c r="B503" t="s">
        <v>97</v>
      </c>
      <c r="C503" s="4">
        <v>0</v>
      </c>
      <c r="D503" s="4">
        <v>0</v>
      </c>
      <c r="E503" s="4">
        <v>0</v>
      </c>
      <c r="F503" s="4">
        <v>0</v>
      </c>
      <c r="G503" s="4">
        <v>0</v>
      </c>
      <c r="H503" s="4">
        <v>0</v>
      </c>
      <c r="I503" s="4">
        <v>0</v>
      </c>
      <c r="J503" s="4">
        <v>0</v>
      </c>
      <c r="K503" s="4">
        <v>0</v>
      </c>
      <c r="L503" s="4">
        <v>0</v>
      </c>
      <c r="M503" s="4">
        <v>0</v>
      </c>
      <c r="N503" t="s">
        <v>298</v>
      </c>
      <c r="O503" t="s">
        <v>296</v>
      </c>
      <c r="P503" t="s">
        <v>297</v>
      </c>
      <c r="Q503" t="s">
        <v>245</v>
      </c>
    </row>
    <row r="504" spans="1:18" x14ac:dyDescent="0.25">
      <c r="A504" t="s">
        <v>290</v>
      </c>
      <c r="B504" t="s">
        <v>97</v>
      </c>
      <c r="C504" s="4">
        <v>0</v>
      </c>
      <c r="D504" s="4">
        <v>0</v>
      </c>
      <c r="E504" s="4">
        <v>0</v>
      </c>
      <c r="F504" s="4">
        <v>0</v>
      </c>
      <c r="G504" s="4">
        <v>0</v>
      </c>
      <c r="H504" s="4">
        <v>0</v>
      </c>
      <c r="I504" s="4">
        <v>0</v>
      </c>
      <c r="J504" s="4">
        <v>0</v>
      </c>
      <c r="K504" s="4">
        <v>0</v>
      </c>
      <c r="L504" s="4">
        <v>0</v>
      </c>
      <c r="M504" s="4">
        <v>0</v>
      </c>
      <c r="N504" t="s">
        <v>298</v>
      </c>
      <c r="O504" t="s">
        <v>299</v>
      </c>
      <c r="P504" t="s">
        <v>290</v>
      </c>
      <c r="Q504" t="s">
        <v>245</v>
      </c>
    </row>
    <row r="505" spans="1:18" x14ac:dyDescent="0.25">
      <c r="A505" t="s">
        <v>297</v>
      </c>
      <c r="B505" t="s">
        <v>119</v>
      </c>
      <c r="C505" s="4">
        <v>0</v>
      </c>
      <c r="D505" s="4">
        <v>0</v>
      </c>
      <c r="E505" s="4">
        <v>0</v>
      </c>
      <c r="F505" s="4">
        <v>0</v>
      </c>
      <c r="G505" s="4">
        <v>0</v>
      </c>
      <c r="H505" s="4">
        <v>0</v>
      </c>
      <c r="I505" s="4">
        <v>0</v>
      </c>
      <c r="J505" s="4">
        <v>0</v>
      </c>
      <c r="K505" s="4">
        <v>0</v>
      </c>
      <c r="L505" s="4">
        <v>0</v>
      </c>
      <c r="M505" s="4">
        <v>0</v>
      </c>
      <c r="N505" t="s">
        <v>298</v>
      </c>
      <c r="O505" t="s">
        <v>296</v>
      </c>
      <c r="P505" t="s">
        <v>297</v>
      </c>
      <c r="Q505" t="s">
        <v>245</v>
      </c>
    </row>
    <row r="506" spans="1:18" x14ac:dyDescent="0.25">
      <c r="A506" t="s">
        <v>290</v>
      </c>
      <c r="B506" t="s">
        <v>119</v>
      </c>
      <c r="C506" s="4">
        <v>0</v>
      </c>
      <c r="D506" s="4">
        <v>0</v>
      </c>
      <c r="E506" s="4">
        <v>0</v>
      </c>
      <c r="F506" s="4">
        <v>0</v>
      </c>
      <c r="G506" s="4">
        <v>0</v>
      </c>
      <c r="H506" s="4">
        <v>0</v>
      </c>
      <c r="I506" s="4">
        <v>0</v>
      </c>
      <c r="J506" s="4">
        <v>0</v>
      </c>
      <c r="K506" s="4">
        <v>0</v>
      </c>
      <c r="L506" s="4">
        <v>0</v>
      </c>
      <c r="M506" s="4">
        <v>0</v>
      </c>
      <c r="N506" t="s">
        <v>298</v>
      </c>
      <c r="O506" t="s">
        <v>299</v>
      </c>
      <c r="P506" t="s">
        <v>290</v>
      </c>
      <c r="Q506" t="s">
        <v>245</v>
      </c>
    </row>
    <row r="507" spans="1:18" x14ac:dyDescent="0.25">
      <c r="A507" t="s">
        <v>297</v>
      </c>
      <c r="B507" t="s">
        <v>132</v>
      </c>
      <c r="C507" s="4">
        <v>0</v>
      </c>
      <c r="D507" s="4">
        <v>0</v>
      </c>
      <c r="E507" s="4">
        <v>0</v>
      </c>
      <c r="F507" s="4">
        <v>0</v>
      </c>
      <c r="G507" s="4">
        <v>0</v>
      </c>
      <c r="H507" s="4">
        <v>0</v>
      </c>
      <c r="I507" s="4">
        <v>0</v>
      </c>
      <c r="J507" s="4">
        <v>0</v>
      </c>
      <c r="K507" s="4">
        <v>0</v>
      </c>
      <c r="L507" s="4">
        <v>0</v>
      </c>
      <c r="M507" s="4">
        <v>0</v>
      </c>
      <c r="N507" t="s">
        <v>298</v>
      </c>
      <c r="O507" t="s">
        <v>296</v>
      </c>
      <c r="P507" t="s">
        <v>297</v>
      </c>
      <c r="Q507" t="s">
        <v>245</v>
      </c>
    </row>
    <row r="508" spans="1:18" x14ac:dyDescent="0.25">
      <c r="A508" t="s">
        <v>290</v>
      </c>
      <c r="B508" t="s">
        <v>132</v>
      </c>
      <c r="C508" s="4">
        <v>0</v>
      </c>
      <c r="D508" s="4">
        <v>0</v>
      </c>
      <c r="E508" s="4">
        <v>0</v>
      </c>
      <c r="F508" s="4">
        <v>0</v>
      </c>
      <c r="G508" s="4">
        <v>0</v>
      </c>
      <c r="H508" s="4">
        <v>0</v>
      </c>
      <c r="I508" s="4">
        <v>0</v>
      </c>
      <c r="J508" s="4">
        <v>0</v>
      </c>
      <c r="K508" s="4">
        <v>0</v>
      </c>
      <c r="L508" s="4">
        <v>0</v>
      </c>
      <c r="M508" s="4">
        <v>0</v>
      </c>
      <c r="N508" t="s">
        <v>298</v>
      </c>
      <c r="O508" t="s">
        <v>299</v>
      </c>
      <c r="P508" t="s">
        <v>290</v>
      </c>
      <c r="Q508" t="s">
        <v>245</v>
      </c>
    </row>
    <row r="509" spans="1:18" x14ac:dyDescent="0.25">
      <c r="A509" t="s">
        <v>292</v>
      </c>
      <c r="B509" t="s">
        <v>83</v>
      </c>
      <c r="C509" s="4">
        <v>4.5588018145489143E-2</v>
      </c>
      <c r="D509" s="4">
        <v>3.9642035185353738E-2</v>
      </c>
      <c r="E509" s="4">
        <v>4.1773664231810413E-2</v>
      </c>
      <c r="F509" s="4">
        <v>5.1226506141209632E-2</v>
      </c>
      <c r="G509" s="4">
        <v>6.2007532489242012E-2</v>
      </c>
      <c r="H509" s="4">
        <v>7.0639430588507607E-2</v>
      </c>
      <c r="I509" s="4">
        <v>7.8351388920489332E-2</v>
      </c>
      <c r="J509" s="4">
        <v>8.4138079001449276E-2</v>
      </c>
      <c r="K509" s="4">
        <v>8.7912474895984707E-2</v>
      </c>
      <c r="L509" s="4">
        <v>9.2033460001189435E-2</v>
      </c>
      <c r="M509" s="4">
        <v>9.4297590652270863E-2</v>
      </c>
      <c r="N509" t="s">
        <v>254</v>
      </c>
      <c r="O509" t="s">
        <v>291</v>
      </c>
      <c r="P509" t="s">
        <v>292</v>
      </c>
      <c r="Q509" t="s">
        <v>245</v>
      </c>
      <c r="R509" t="s">
        <v>293</v>
      </c>
    </row>
    <row r="510" spans="1:18" x14ac:dyDescent="0.25">
      <c r="A510" t="s">
        <v>292</v>
      </c>
      <c r="B510" t="s">
        <v>163</v>
      </c>
      <c r="C510" s="4">
        <v>9.1176036290978278E-3</v>
      </c>
      <c r="D510" s="4">
        <v>1.109944478395985E-2</v>
      </c>
      <c r="E510" s="4">
        <v>1.1803759660027519E-2</v>
      </c>
      <c r="F510" s="4">
        <v>1.083824560672652E-2</v>
      </c>
      <c r="G510" s="4">
        <v>9.8841759471965922E-3</v>
      </c>
      <c r="H510" s="4">
        <v>9.0330420693246916E-3</v>
      </c>
      <c r="I510" s="4">
        <v>8.4562770928608647E-3</v>
      </c>
      <c r="J510" s="4">
        <v>8.2087213325788954E-3</v>
      </c>
      <c r="K510" s="4">
        <v>8.0840366945870608E-3</v>
      </c>
      <c r="L510" s="4">
        <v>8.0030433097428976E-3</v>
      </c>
      <c r="M510" s="4">
        <v>7.9830866980603304E-3</v>
      </c>
      <c r="N510" t="s">
        <v>254</v>
      </c>
      <c r="O510" t="s">
        <v>291</v>
      </c>
      <c r="P510" t="s">
        <v>292</v>
      </c>
      <c r="Q510" t="s">
        <v>245</v>
      </c>
      <c r="R510" t="s">
        <v>559</v>
      </c>
    </row>
    <row r="511" spans="1:18" x14ac:dyDescent="0.25">
      <c r="A511" t="s">
        <v>292</v>
      </c>
      <c r="B511" t="s">
        <v>85</v>
      </c>
      <c r="C511" s="4">
        <v>0</v>
      </c>
      <c r="D511" s="4">
        <v>0</v>
      </c>
      <c r="E511" s="4">
        <v>0</v>
      </c>
      <c r="F511" s="4">
        <v>0</v>
      </c>
      <c r="G511" s="4">
        <v>0</v>
      </c>
      <c r="H511" s="4">
        <v>0</v>
      </c>
      <c r="I511" s="4">
        <v>0</v>
      </c>
      <c r="J511" s="4">
        <v>0</v>
      </c>
      <c r="K511" s="4">
        <v>0</v>
      </c>
      <c r="L511" s="4">
        <v>0</v>
      </c>
      <c r="M511" s="4">
        <v>0</v>
      </c>
      <c r="N511" t="s">
        <v>254</v>
      </c>
      <c r="O511" t="s">
        <v>291</v>
      </c>
      <c r="P511" t="s">
        <v>292</v>
      </c>
      <c r="Q511" t="s">
        <v>245</v>
      </c>
    </row>
    <row r="512" spans="1:18" x14ac:dyDescent="0.25">
      <c r="A512" t="s">
        <v>292</v>
      </c>
      <c r="B512" t="s">
        <v>116</v>
      </c>
      <c r="C512" s="4">
        <v>5.3453306392976567E-2</v>
      </c>
      <c r="D512" s="4">
        <v>5.3120977284252413E-2</v>
      </c>
      <c r="E512" s="4">
        <v>4.9427581930644407E-2</v>
      </c>
      <c r="F512" s="4">
        <v>4.5384545953189331E-2</v>
      </c>
      <c r="G512" s="4">
        <v>4.1389432733148768E-2</v>
      </c>
      <c r="H512" s="4">
        <v>4.2411897459637762E-2</v>
      </c>
      <c r="I512" s="4">
        <v>4.8292330411286007E-2</v>
      </c>
      <c r="J512" s="4">
        <v>5.521561434470109E-2</v>
      </c>
      <c r="K512" s="4">
        <v>6.2587326757695377E-2</v>
      </c>
      <c r="L512" s="4">
        <v>6.602382558800067E-2</v>
      </c>
      <c r="M512" s="4">
        <v>6.5859186737745629E-2</v>
      </c>
      <c r="N512" t="s">
        <v>254</v>
      </c>
      <c r="O512" t="s">
        <v>291</v>
      </c>
      <c r="P512" t="s">
        <v>292</v>
      </c>
      <c r="Q512" t="s">
        <v>245</v>
      </c>
    </row>
    <row r="513" spans="1:17" x14ac:dyDescent="0.25">
      <c r="A513" t="s">
        <v>292</v>
      </c>
      <c r="B513" t="s">
        <v>86</v>
      </c>
      <c r="C513" s="4">
        <v>0.67028031304146285</v>
      </c>
      <c r="D513" s="4">
        <v>0.6698772543461583</v>
      </c>
      <c r="E513" s="4">
        <v>0.67106755591851552</v>
      </c>
      <c r="F513" s="4">
        <v>0.66918425017531435</v>
      </c>
      <c r="G513" s="4">
        <v>0.66479156482778357</v>
      </c>
      <c r="H513" s="4">
        <v>0.65736820785834149</v>
      </c>
      <c r="I513" s="4">
        <v>0.64532066137729516</v>
      </c>
      <c r="J513" s="4">
        <v>0.63412451173621032</v>
      </c>
      <c r="K513" s="4">
        <v>0.62449261147011392</v>
      </c>
      <c r="L513" s="4">
        <v>0.6182358647080658</v>
      </c>
      <c r="M513" s="4">
        <v>0.61669421453791173</v>
      </c>
      <c r="N513" t="s">
        <v>254</v>
      </c>
      <c r="O513" t="s">
        <v>291</v>
      </c>
      <c r="P513" t="s">
        <v>292</v>
      </c>
      <c r="Q513" t="s">
        <v>245</v>
      </c>
    </row>
    <row r="514" spans="1:17" x14ac:dyDescent="0.25">
      <c r="A514" t="s">
        <v>292</v>
      </c>
      <c r="B514" t="s">
        <v>159</v>
      </c>
      <c r="C514" s="4">
        <v>6.8410064129762306E-4</v>
      </c>
      <c r="D514" s="4">
        <v>9.9145721455784269E-4</v>
      </c>
      <c r="E514" s="4">
        <v>1.2915324471061509E-3</v>
      </c>
      <c r="F514" s="4">
        <v>1.3553014365362049E-3</v>
      </c>
      <c r="G514" s="4">
        <v>1.2359968897455321E-3</v>
      </c>
      <c r="H514" s="4">
        <v>1.129564261327469E-3</v>
      </c>
      <c r="I514" s="4">
        <v>1.057440927947752E-3</v>
      </c>
      <c r="J514" s="4">
        <v>1.0264845638176809E-3</v>
      </c>
      <c r="K514" s="4">
        <v>1.010892993455089E-3</v>
      </c>
      <c r="L514" s="4">
        <v>1.000764928931335E-3</v>
      </c>
      <c r="M514" s="4">
        <v>9.9826939363316879E-4</v>
      </c>
      <c r="N514" t="s">
        <v>254</v>
      </c>
      <c r="O514" t="s">
        <v>291</v>
      </c>
      <c r="P514" t="s">
        <v>292</v>
      </c>
      <c r="Q514" t="s">
        <v>245</v>
      </c>
    </row>
    <row r="515" spans="1:17" x14ac:dyDescent="0.25">
      <c r="A515" t="s">
        <v>292</v>
      </c>
      <c r="B515" t="s">
        <v>154</v>
      </c>
      <c r="C515" s="4">
        <v>8.2172449435430062E-2</v>
      </c>
      <c r="D515" s="4">
        <v>8.1663567685646296E-2</v>
      </c>
      <c r="E515" s="4">
        <v>7.5985663082437274E-2</v>
      </c>
      <c r="F515" s="4">
        <v>6.9770251411193737E-2</v>
      </c>
      <c r="G515" s="4">
        <v>6.3628512016777133E-2</v>
      </c>
      <c r="H515" s="4">
        <v>5.8149412649730919E-2</v>
      </c>
      <c r="I515" s="4">
        <v>5.4436538917834891E-2</v>
      </c>
      <c r="J515" s="4">
        <v>5.2842920516860223E-2</v>
      </c>
      <c r="K515" s="4">
        <v>5.2040274142579411E-2</v>
      </c>
      <c r="L515" s="4">
        <v>5.1518886361911868E-2</v>
      </c>
      <c r="M515" s="4">
        <v>5.1390417432074717E-2</v>
      </c>
      <c r="N515" t="s">
        <v>254</v>
      </c>
      <c r="O515" t="s">
        <v>291</v>
      </c>
      <c r="P515" t="s">
        <v>292</v>
      </c>
      <c r="Q515" t="s">
        <v>245</v>
      </c>
    </row>
    <row r="516" spans="1:17" x14ac:dyDescent="0.25">
      <c r="A516" t="s">
        <v>292</v>
      </c>
      <c r="B516" t="s">
        <v>91</v>
      </c>
      <c r="C516" s="4">
        <v>2.280335470992077E-3</v>
      </c>
      <c r="D516" s="4">
        <v>2.7744548610659629E-3</v>
      </c>
      <c r="E516" s="4">
        <v>2.9505618317378218E-3</v>
      </c>
      <c r="F516" s="4">
        <v>2.7092142445513689E-3</v>
      </c>
      <c r="G516" s="4">
        <v>2.470727389235176E-3</v>
      </c>
      <c r="H516" s="4">
        <v>2.2579711822232509E-3</v>
      </c>
      <c r="I516" s="4">
        <v>2.113798412321787E-3</v>
      </c>
      <c r="J516" s="4">
        <v>2.0519174016478442E-3</v>
      </c>
      <c r="K516" s="4">
        <v>2.020750235892294E-3</v>
      </c>
      <c r="L516" s="4">
        <v>2.0005044839600762E-3</v>
      </c>
      <c r="M516" s="4">
        <v>1.995515970264664E-3</v>
      </c>
      <c r="N516" t="s">
        <v>254</v>
      </c>
      <c r="O516" t="s">
        <v>291</v>
      </c>
      <c r="P516" t="s">
        <v>292</v>
      </c>
      <c r="Q516" t="s">
        <v>245</v>
      </c>
    </row>
    <row r="517" spans="1:17" x14ac:dyDescent="0.25">
      <c r="A517" t="s">
        <v>292</v>
      </c>
      <c r="B517" t="s">
        <v>97</v>
      </c>
      <c r="C517" s="4">
        <v>0</v>
      </c>
      <c r="D517" s="4">
        <v>0</v>
      </c>
      <c r="E517" s="4">
        <v>0</v>
      </c>
      <c r="F517" s="4">
        <v>0</v>
      </c>
      <c r="G517" s="4">
        <v>0</v>
      </c>
      <c r="H517" s="4">
        <v>0</v>
      </c>
      <c r="I517" s="4">
        <v>0</v>
      </c>
      <c r="J517" s="4">
        <v>0</v>
      </c>
      <c r="K517" s="4">
        <v>0</v>
      </c>
      <c r="L517" s="4">
        <v>0</v>
      </c>
      <c r="M517" s="4">
        <v>0</v>
      </c>
      <c r="N517" t="s">
        <v>254</v>
      </c>
      <c r="O517" t="s">
        <v>291</v>
      </c>
      <c r="P517" t="s">
        <v>292</v>
      </c>
      <c r="Q517" t="s">
        <v>245</v>
      </c>
    </row>
    <row r="518" spans="1:17" x14ac:dyDescent="0.25">
      <c r="A518" t="s">
        <v>292</v>
      </c>
      <c r="B518" t="s">
        <v>98</v>
      </c>
      <c r="C518" s="4">
        <v>0</v>
      </c>
      <c r="D518" s="4">
        <v>0</v>
      </c>
      <c r="E518" s="4">
        <v>0</v>
      </c>
      <c r="F518" s="4">
        <v>3.3868649628194711E-3</v>
      </c>
      <c r="G518" s="4">
        <v>9.2661775023238253E-3</v>
      </c>
      <c r="H518" s="4">
        <v>1.4113766564434929E-2</v>
      </c>
      <c r="I518" s="4">
        <v>1.8497632134069641E-2</v>
      </c>
      <c r="J518" s="4">
        <v>2.0521277468453478E-2</v>
      </c>
      <c r="K518" s="4">
        <v>2.0209573860958709E-2</v>
      </c>
      <c r="L518" s="4">
        <v>2.0007095587405949E-2</v>
      </c>
      <c r="M518" s="4">
        <v>1.9957205336649991E-2</v>
      </c>
      <c r="N518" t="s">
        <v>254</v>
      </c>
      <c r="O518" t="s">
        <v>291</v>
      </c>
      <c r="P518" t="s">
        <v>292</v>
      </c>
      <c r="Q518" t="s">
        <v>245</v>
      </c>
    </row>
    <row r="519" spans="1:17" x14ac:dyDescent="0.25">
      <c r="A519" t="s">
        <v>292</v>
      </c>
      <c r="B519" t="s">
        <v>119</v>
      </c>
      <c r="C519" s="4">
        <v>3.350784753153685E-2</v>
      </c>
      <c r="D519" s="4">
        <v>3.3299959691575537E-2</v>
      </c>
      <c r="E519" s="4">
        <v>3.0984680065937721E-2</v>
      </c>
      <c r="F519" s="4">
        <v>2.8450221139091979E-2</v>
      </c>
      <c r="G519" s="4">
        <v>2.594580356260907E-2</v>
      </c>
      <c r="H519" s="4">
        <v>2.3711590764423359E-2</v>
      </c>
      <c r="I519" s="4">
        <v>2.2197591938313058E-2</v>
      </c>
      <c r="J519" s="4">
        <v>2.154776203227116E-2</v>
      </c>
      <c r="K519" s="4">
        <v>2.12204668544138E-2</v>
      </c>
      <c r="L519" s="4">
        <v>2.1007860516337282E-2</v>
      </c>
      <c r="M519" s="4">
        <v>2.0955474730283159E-2</v>
      </c>
      <c r="N519" t="s">
        <v>254</v>
      </c>
      <c r="O519" t="s">
        <v>291</v>
      </c>
      <c r="P519" t="s">
        <v>292</v>
      </c>
      <c r="Q519" t="s">
        <v>245</v>
      </c>
    </row>
    <row r="520" spans="1:17" x14ac:dyDescent="0.25">
      <c r="A520" t="s">
        <v>292</v>
      </c>
      <c r="B520" t="s">
        <v>141</v>
      </c>
      <c r="C520" s="4">
        <v>5.1058954148434893E-2</v>
      </c>
      <c r="D520" s="4">
        <v>4.4399404475535392E-2</v>
      </c>
      <c r="E520" s="4">
        <v>4.1312402643558219E-2</v>
      </c>
      <c r="F520" s="4">
        <v>3.7933165309282292E-2</v>
      </c>
      <c r="G520" s="4">
        <v>3.4593982620060131E-2</v>
      </c>
      <c r="H520" s="4">
        <v>3.1615068572420579E-2</v>
      </c>
      <c r="I520" s="4">
        <v>2.9596428103226172E-2</v>
      </c>
      <c r="J520" s="4">
        <v>2.8729998801032379E-2</v>
      </c>
      <c r="K520" s="4">
        <v>2.8293610555545769E-2</v>
      </c>
      <c r="L520" s="4">
        <v>2.8010138897148849E-2</v>
      </c>
      <c r="M520" s="4">
        <v>2.794029203471032E-2</v>
      </c>
      <c r="N520" t="s">
        <v>254</v>
      </c>
      <c r="O520" t="s">
        <v>291</v>
      </c>
      <c r="P520" t="s">
        <v>292</v>
      </c>
      <c r="Q520" t="s">
        <v>245</v>
      </c>
    </row>
    <row r="521" spans="1:17" x14ac:dyDescent="0.25">
      <c r="A521" t="s">
        <v>292</v>
      </c>
      <c r="B521" t="s">
        <v>161</v>
      </c>
      <c r="C521" s="4">
        <v>1.1397939100089899E-2</v>
      </c>
      <c r="D521" s="4">
        <v>1.3875524984721809E-2</v>
      </c>
      <c r="E521" s="4">
        <v>1.475432149176535E-2</v>
      </c>
      <c r="F521" s="4">
        <v>1.3547459851277879E-2</v>
      </c>
      <c r="G521" s="4">
        <v>1.235490333643177E-2</v>
      </c>
      <c r="H521" s="4">
        <v>1.129101325154794E-2</v>
      </c>
      <c r="I521" s="4">
        <v>1.0570075505182649E-2</v>
      </c>
      <c r="J521" s="4">
        <v>1.0260638734226739E-2</v>
      </c>
      <c r="K521" s="4">
        <v>1.010478693047936E-2</v>
      </c>
      <c r="L521" s="4">
        <v>1.0003547793702969E-2</v>
      </c>
      <c r="M521" s="4">
        <v>9.9786026683249939E-3</v>
      </c>
      <c r="N521" t="s">
        <v>254</v>
      </c>
      <c r="O521" t="s">
        <v>291</v>
      </c>
      <c r="P521" t="s">
        <v>292</v>
      </c>
      <c r="Q521" t="s">
        <v>245</v>
      </c>
    </row>
    <row r="522" spans="1:17" x14ac:dyDescent="0.25">
      <c r="A522" t="s">
        <v>292</v>
      </c>
      <c r="B522" t="s">
        <v>162</v>
      </c>
      <c r="C522" s="4">
        <v>0</v>
      </c>
      <c r="D522" s="4">
        <v>0</v>
      </c>
      <c r="E522" s="4">
        <v>0</v>
      </c>
      <c r="F522" s="4">
        <v>0</v>
      </c>
      <c r="G522" s="4">
        <v>0</v>
      </c>
      <c r="H522" s="4">
        <v>0</v>
      </c>
      <c r="I522" s="4">
        <v>0</v>
      </c>
      <c r="J522" s="4">
        <v>0</v>
      </c>
      <c r="K522" s="4">
        <v>0</v>
      </c>
      <c r="L522" s="4">
        <v>0</v>
      </c>
      <c r="M522" s="4">
        <v>0</v>
      </c>
      <c r="N522" t="s">
        <v>254</v>
      </c>
      <c r="O522" t="s">
        <v>291</v>
      </c>
      <c r="P522" t="s">
        <v>292</v>
      </c>
      <c r="Q522" t="s">
        <v>245</v>
      </c>
    </row>
    <row r="523" spans="1:17" x14ac:dyDescent="0.25">
      <c r="A523" t="s">
        <v>292</v>
      </c>
      <c r="B523" t="s">
        <v>132</v>
      </c>
      <c r="C523" s="4">
        <v>3.704049838413933E-2</v>
      </c>
      <c r="D523" s="4">
        <v>4.509342452572588E-2</v>
      </c>
      <c r="E523" s="4">
        <v>4.7951544848237368E-2</v>
      </c>
      <c r="F523" s="4">
        <v>4.4029244516653132E-2</v>
      </c>
      <c r="G523" s="4">
        <v>4.0153435843403237E-2</v>
      </c>
      <c r="H523" s="4">
        <v>3.6695793067530812E-2</v>
      </c>
      <c r="I523" s="4">
        <v>3.4352745391843617E-2</v>
      </c>
      <c r="J523" s="4">
        <v>3.33470758862369E-2</v>
      </c>
      <c r="K523" s="4">
        <v>3.2840557524057908E-2</v>
      </c>
      <c r="L523" s="4">
        <v>3.2511530329534667E-2</v>
      </c>
      <c r="M523" s="4">
        <v>3.2430458672056232E-2</v>
      </c>
      <c r="N523" t="s">
        <v>254</v>
      </c>
      <c r="O523" t="s">
        <v>291</v>
      </c>
      <c r="P523" t="s">
        <v>292</v>
      </c>
      <c r="Q523" t="s">
        <v>245</v>
      </c>
    </row>
    <row r="524" spans="1:17" x14ac:dyDescent="0.25">
      <c r="A524" t="s">
        <v>292</v>
      </c>
      <c r="B524" t="s">
        <v>107</v>
      </c>
      <c r="C524" s="4">
        <v>0</v>
      </c>
      <c r="D524" s="4">
        <v>0</v>
      </c>
      <c r="E524" s="4">
        <v>0</v>
      </c>
      <c r="F524" s="4">
        <v>0</v>
      </c>
      <c r="G524" s="4">
        <v>0</v>
      </c>
      <c r="H524" s="4">
        <v>0</v>
      </c>
      <c r="I524" s="4">
        <v>0</v>
      </c>
      <c r="J524" s="4">
        <v>0</v>
      </c>
      <c r="K524" s="4">
        <v>0</v>
      </c>
      <c r="L524" s="4">
        <v>0</v>
      </c>
      <c r="M524" s="4">
        <v>0</v>
      </c>
      <c r="N524" t="s">
        <v>254</v>
      </c>
      <c r="O524" t="s">
        <v>291</v>
      </c>
      <c r="P524" t="s">
        <v>292</v>
      </c>
      <c r="Q524" t="s">
        <v>245</v>
      </c>
    </row>
    <row r="525" spans="1:17" x14ac:dyDescent="0.25">
      <c r="A525" t="s">
        <v>292</v>
      </c>
      <c r="B525" t="s">
        <v>137</v>
      </c>
      <c r="C525" s="4">
        <v>3.418634079052876E-3</v>
      </c>
      <c r="D525" s="4">
        <v>4.1624949614469421E-3</v>
      </c>
      <c r="E525" s="4">
        <v>4.4265989141448513E-3</v>
      </c>
      <c r="F525" s="4">
        <v>4.0645156810875738E-3</v>
      </c>
      <c r="G525" s="4">
        <v>3.7067242789807081E-3</v>
      </c>
      <c r="H525" s="4">
        <v>3.387535443550721E-3</v>
      </c>
      <c r="I525" s="4">
        <v>3.1712393402695388E-3</v>
      </c>
      <c r="J525" s="4">
        <v>3.0784019654655249E-3</v>
      </c>
      <c r="K525" s="4">
        <v>3.0316432293473841E-3</v>
      </c>
      <c r="L525" s="4">
        <v>3.0012694128914112E-3</v>
      </c>
      <c r="M525" s="4">
        <v>2.993785363897833E-3</v>
      </c>
      <c r="N525" t="s">
        <v>254</v>
      </c>
      <c r="O525" t="s">
        <v>291</v>
      </c>
      <c r="P525" t="s">
        <v>292</v>
      </c>
      <c r="Q525" t="s">
        <v>245</v>
      </c>
    </row>
    <row r="526" spans="1:17" x14ac:dyDescent="0.25">
      <c r="A526" t="s">
        <v>292</v>
      </c>
      <c r="B526" t="s">
        <v>142</v>
      </c>
      <c r="C526" s="4">
        <v>0</v>
      </c>
      <c r="D526" s="4">
        <v>0</v>
      </c>
      <c r="E526" s="4">
        <v>0</v>
      </c>
      <c r="F526" s="4">
        <v>8.4706339783512813E-4</v>
      </c>
      <c r="G526" s="4">
        <v>2.3162277780169852E-3</v>
      </c>
      <c r="H526" s="4">
        <v>3.5287309762166538E-3</v>
      </c>
      <c r="I526" s="4">
        <v>4.6241371726239806E-3</v>
      </c>
      <c r="J526" s="4">
        <v>5.1303193671133696E-3</v>
      </c>
      <c r="K526" s="4">
        <v>5.052393465239678E-3</v>
      </c>
      <c r="L526" s="4">
        <v>5.0017738968514856E-3</v>
      </c>
      <c r="M526" s="4">
        <v>4.989301334162497E-3</v>
      </c>
      <c r="N526" t="s">
        <v>254</v>
      </c>
      <c r="O526" t="s">
        <v>291</v>
      </c>
      <c r="P526" t="s">
        <v>292</v>
      </c>
      <c r="Q526" t="s">
        <v>245</v>
      </c>
    </row>
    <row r="527" spans="1:17" x14ac:dyDescent="0.25">
      <c r="A527" t="s">
        <v>292</v>
      </c>
      <c r="B527" t="s">
        <v>113</v>
      </c>
      <c r="C527" s="4">
        <v>0</v>
      </c>
      <c r="D527" s="4">
        <v>0</v>
      </c>
      <c r="E527" s="4">
        <v>0</v>
      </c>
      <c r="F527" s="4">
        <v>0</v>
      </c>
      <c r="G527" s="4">
        <v>0</v>
      </c>
      <c r="H527" s="4">
        <v>1.0763266014698219E-3</v>
      </c>
      <c r="I527" s="4">
        <v>3.0228075706703159E-3</v>
      </c>
      <c r="J527" s="4">
        <v>4.8894741159717214E-3</v>
      </c>
      <c r="K527" s="4">
        <v>6.741703375408992E-3</v>
      </c>
      <c r="L527" s="4">
        <v>7.6277564613936484E-3</v>
      </c>
      <c r="M527" s="4">
        <v>7.6087356754478913E-3</v>
      </c>
      <c r="N527" t="s">
        <v>254</v>
      </c>
      <c r="O527" t="s">
        <v>291</v>
      </c>
      <c r="P527" t="s">
        <v>292</v>
      </c>
      <c r="Q527" t="s">
        <v>245</v>
      </c>
    </row>
    <row r="528" spans="1:17" x14ac:dyDescent="0.25">
      <c r="A528" t="s">
        <v>292</v>
      </c>
      <c r="B528" t="s">
        <v>143</v>
      </c>
      <c r="C528" s="4">
        <v>0</v>
      </c>
      <c r="D528" s="4">
        <v>0</v>
      </c>
      <c r="E528" s="4">
        <v>6.2701329340774008E-3</v>
      </c>
      <c r="F528" s="4">
        <v>1.7273150173231409E-2</v>
      </c>
      <c r="G528" s="4">
        <v>2.6254802785045449E-2</v>
      </c>
      <c r="H528" s="4">
        <v>3.3590648689311962E-2</v>
      </c>
      <c r="I528" s="4">
        <v>3.5938906783765247E-2</v>
      </c>
      <c r="J528" s="4">
        <v>3.4886802731963422E-2</v>
      </c>
      <c r="K528" s="4">
        <v>3.4356897014240537E-2</v>
      </c>
      <c r="L528" s="4">
        <v>3.4012677722931657E-2</v>
      </c>
      <c r="M528" s="4">
        <v>3.3927862762505992E-2</v>
      </c>
      <c r="N528" t="s">
        <v>254</v>
      </c>
      <c r="O528" t="s">
        <v>291</v>
      </c>
      <c r="P528" t="s">
        <v>292</v>
      </c>
      <c r="Q528" t="s">
        <v>245</v>
      </c>
    </row>
    <row r="529" spans="1:17" x14ac:dyDescent="0.25">
      <c r="A529" t="s">
        <v>773</v>
      </c>
      <c r="B529" t="s">
        <v>83</v>
      </c>
      <c r="C529" s="4">
        <v>2.4369514927577728E-2</v>
      </c>
      <c r="D529" s="4">
        <v>2.4369514927577728E-2</v>
      </c>
      <c r="E529" s="4">
        <v>2.4369514927577728E-2</v>
      </c>
      <c r="F529" s="4">
        <v>2.4369514927577728E-2</v>
      </c>
      <c r="G529" s="4">
        <v>2.4369514927577728E-2</v>
      </c>
      <c r="H529" s="4">
        <v>2.4369514927577728E-2</v>
      </c>
      <c r="I529" s="4">
        <v>2.4369514927577728E-2</v>
      </c>
      <c r="J529" s="4">
        <v>2.4369514927577728E-2</v>
      </c>
      <c r="K529" s="4">
        <v>2.4369514927577728E-2</v>
      </c>
      <c r="L529" s="4">
        <v>2.4369514927577728E-2</v>
      </c>
      <c r="M529" s="4">
        <v>2.4369514927577728E-2</v>
      </c>
      <c r="N529" t="s">
        <v>254</v>
      </c>
      <c r="O529" t="s">
        <v>774</v>
      </c>
      <c r="P529" t="s">
        <v>773</v>
      </c>
      <c r="Q529" t="s">
        <v>245</v>
      </c>
    </row>
    <row r="530" spans="1:17" x14ac:dyDescent="0.25">
      <c r="A530" t="s">
        <v>773</v>
      </c>
      <c r="B530" t="s">
        <v>163</v>
      </c>
      <c r="C530" s="4">
        <v>1.1134895854637341E-2</v>
      </c>
      <c r="D530" s="4">
        <v>1.1134895854637341E-2</v>
      </c>
      <c r="E530" s="4">
        <v>1.1134895854637341E-2</v>
      </c>
      <c r="F530" s="4">
        <v>1.1134895854637341E-2</v>
      </c>
      <c r="G530" s="4">
        <v>1.1134895854637341E-2</v>
      </c>
      <c r="H530" s="4">
        <v>1.1134895854637341E-2</v>
      </c>
      <c r="I530" s="4">
        <v>1.1134895854637341E-2</v>
      </c>
      <c r="J530" s="4">
        <v>1.1134895854637341E-2</v>
      </c>
      <c r="K530" s="4">
        <v>1.1134895854637341E-2</v>
      </c>
      <c r="L530" s="4">
        <v>1.1134895854637341E-2</v>
      </c>
      <c r="M530" s="4">
        <v>1.1134895854637341E-2</v>
      </c>
      <c r="N530" t="s">
        <v>254</v>
      </c>
      <c r="O530" t="s">
        <v>774</v>
      </c>
      <c r="P530" t="s">
        <v>773</v>
      </c>
      <c r="Q530" t="s">
        <v>245</v>
      </c>
    </row>
    <row r="531" spans="1:17" x14ac:dyDescent="0.25">
      <c r="A531" t="s">
        <v>773</v>
      </c>
      <c r="B531" t="s">
        <v>85</v>
      </c>
      <c r="C531" s="4">
        <v>2.9238570067279012E-4</v>
      </c>
      <c r="D531" s="4">
        <v>2.9238570067279012E-4</v>
      </c>
      <c r="E531" s="4">
        <v>2.9238570067279012E-4</v>
      </c>
      <c r="F531" s="4">
        <v>2.9238570067279012E-4</v>
      </c>
      <c r="G531" s="4">
        <v>2.9238570067279012E-4</v>
      </c>
      <c r="H531" s="4">
        <v>2.9238570067279012E-4</v>
      </c>
      <c r="I531" s="4">
        <v>2.9238570067279012E-4</v>
      </c>
      <c r="J531" s="4">
        <v>2.9238570067279012E-4</v>
      </c>
      <c r="K531" s="4">
        <v>2.9238570067279012E-4</v>
      </c>
      <c r="L531" s="4">
        <v>2.9238570067279012E-4</v>
      </c>
      <c r="M531" s="4">
        <v>2.9238570067279012E-4</v>
      </c>
      <c r="N531" t="s">
        <v>254</v>
      </c>
      <c r="O531" t="s">
        <v>774</v>
      </c>
      <c r="P531" t="s">
        <v>773</v>
      </c>
      <c r="Q531" t="s">
        <v>245</v>
      </c>
    </row>
    <row r="532" spans="1:17" x14ac:dyDescent="0.25">
      <c r="A532" t="s">
        <v>773</v>
      </c>
      <c r="B532" t="s">
        <v>116</v>
      </c>
      <c r="C532" s="4">
        <v>4.4753191624740382E-2</v>
      </c>
      <c r="D532" s="4">
        <v>4.4753191624740382E-2</v>
      </c>
      <c r="E532" s="4">
        <v>4.4753191624740382E-2</v>
      </c>
      <c r="F532" s="4">
        <v>4.4753191624740382E-2</v>
      </c>
      <c r="G532" s="4">
        <v>4.4753191624740382E-2</v>
      </c>
      <c r="H532" s="4">
        <v>4.4753191624740382E-2</v>
      </c>
      <c r="I532" s="4">
        <v>4.4753191624740382E-2</v>
      </c>
      <c r="J532" s="4">
        <v>4.4753191624740382E-2</v>
      </c>
      <c r="K532" s="4">
        <v>4.4753191624740382E-2</v>
      </c>
      <c r="L532" s="4">
        <v>4.4753191624740382E-2</v>
      </c>
      <c r="M532" s="4">
        <v>4.4753191624740382E-2</v>
      </c>
      <c r="N532" t="s">
        <v>254</v>
      </c>
      <c r="O532" t="s">
        <v>774</v>
      </c>
      <c r="P532" t="s">
        <v>773</v>
      </c>
      <c r="Q532" t="s">
        <v>245</v>
      </c>
    </row>
    <row r="533" spans="1:17" x14ac:dyDescent="0.25">
      <c r="A533" t="s">
        <v>773</v>
      </c>
      <c r="B533" t="s">
        <v>86</v>
      </c>
      <c r="C533" s="4">
        <v>0.67863781592426453</v>
      </c>
      <c r="D533" s="4">
        <v>0.67863781592426453</v>
      </c>
      <c r="E533" s="4">
        <v>0.67863781592426453</v>
      </c>
      <c r="F533" s="4">
        <v>0.67863781592426453</v>
      </c>
      <c r="G533" s="4">
        <v>0.67863781592426453</v>
      </c>
      <c r="H533" s="4">
        <v>0.67863781592426453</v>
      </c>
      <c r="I533" s="4">
        <v>0.67863781592426453</v>
      </c>
      <c r="J533" s="4">
        <v>0.67863781592426453</v>
      </c>
      <c r="K533" s="4">
        <v>0.67863781592426453</v>
      </c>
      <c r="L533" s="4">
        <v>0.67863781592426453</v>
      </c>
      <c r="M533" s="4">
        <v>0.67863781592426453</v>
      </c>
      <c r="N533" t="s">
        <v>254</v>
      </c>
      <c r="O533" t="s">
        <v>774</v>
      </c>
      <c r="P533" t="s">
        <v>773</v>
      </c>
      <c r="Q533" t="s">
        <v>245</v>
      </c>
    </row>
    <row r="534" spans="1:17" x14ac:dyDescent="0.25">
      <c r="A534" t="s">
        <v>773</v>
      </c>
      <c r="B534" t="s">
        <v>159</v>
      </c>
      <c r="C534" s="4">
        <v>2.848109415880028E-4</v>
      </c>
      <c r="D534" s="4">
        <v>2.848109415880028E-4</v>
      </c>
      <c r="E534" s="4">
        <v>2.848109415880028E-4</v>
      </c>
      <c r="F534" s="4">
        <v>2.848109415880028E-4</v>
      </c>
      <c r="G534" s="4">
        <v>2.848109415880028E-4</v>
      </c>
      <c r="H534" s="4">
        <v>2.848109415880028E-4</v>
      </c>
      <c r="I534" s="4">
        <v>2.848109415880028E-4</v>
      </c>
      <c r="J534" s="4">
        <v>2.848109415880028E-4</v>
      </c>
      <c r="K534" s="4">
        <v>2.848109415880028E-4</v>
      </c>
      <c r="L534" s="4">
        <v>2.848109415880028E-4</v>
      </c>
      <c r="M534" s="4">
        <v>2.848109415880028E-4</v>
      </c>
      <c r="N534" t="s">
        <v>254</v>
      </c>
      <c r="O534" t="s">
        <v>774</v>
      </c>
      <c r="P534" t="s">
        <v>773</v>
      </c>
      <c r="Q534" t="s">
        <v>245</v>
      </c>
    </row>
    <row r="535" spans="1:17" x14ac:dyDescent="0.25">
      <c r="A535" t="s">
        <v>773</v>
      </c>
      <c r="B535" t="s">
        <v>154</v>
      </c>
      <c r="C535" s="4">
        <v>0.10846752019052031</v>
      </c>
      <c r="D535" s="4">
        <v>0.10846752019052031</v>
      </c>
      <c r="E535" s="4">
        <v>0.10846752019052031</v>
      </c>
      <c r="F535" s="4">
        <v>0.10846752019052031</v>
      </c>
      <c r="G535" s="4">
        <v>0.10846752019052031</v>
      </c>
      <c r="H535" s="4">
        <v>0.10846752019052031</v>
      </c>
      <c r="I535" s="4">
        <v>0.10846752019052031</v>
      </c>
      <c r="J535" s="4">
        <v>0.10846752019052031</v>
      </c>
      <c r="K535" s="4">
        <v>0.10846752019052031</v>
      </c>
      <c r="L535" s="4">
        <v>0.10846752019052031</v>
      </c>
      <c r="M535" s="4">
        <v>0.10846752019052031</v>
      </c>
      <c r="N535" t="s">
        <v>254</v>
      </c>
      <c r="O535" t="s">
        <v>774</v>
      </c>
      <c r="P535" t="s">
        <v>773</v>
      </c>
      <c r="Q535" t="s">
        <v>245</v>
      </c>
    </row>
    <row r="536" spans="1:17" x14ac:dyDescent="0.25">
      <c r="A536" t="s">
        <v>773</v>
      </c>
      <c r="B536" t="s">
        <v>91</v>
      </c>
      <c r="C536" s="4">
        <v>4.9235934051117508E-4</v>
      </c>
      <c r="D536" s="4">
        <v>4.9235934051117508E-4</v>
      </c>
      <c r="E536" s="4">
        <v>4.9235934051117508E-4</v>
      </c>
      <c r="F536" s="4">
        <v>4.9235934051117508E-4</v>
      </c>
      <c r="G536" s="4">
        <v>4.9235934051117508E-4</v>
      </c>
      <c r="H536" s="4">
        <v>4.9235934051117508E-4</v>
      </c>
      <c r="I536" s="4">
        <v>4.9235934051117508E-4</v>
      </c>
      <c r="J536" s="4">
        <v>4.9235934051117508E-4</v>
      </c>
      <c r="K536" s="4">
        <v>4.9235934051117508E-4</v>
      </c>
      <c r="L536" s="4">
        <v>4.9235934051117508E-4</v>
      </c>
      <c r="M536" s="4">
        <v>4.9235934051117508E-4</v>
      </c>
      <c r="N536" t="s">
        <v>254</v>
      </c>
      <c r="O536" t="s">
        <v>774</v>
      </c>
      <c r="P536" t="s">
        <v>773</v>
      </c>
      <c r="Q536" t="s">
        <v>245</v>
      </c>
    </row>
    <row r="537" spans="1:17" x14ac:dyDescent="0.25">
      <c r="A537" t="s">
        <v>773</v>
      </c>
      <c r="B537" t="s">
        <v>97</v>
      </c>
      <c r="C537" s="4">
        <v>1.514951816957462E-4</v>
      </c>
      <c r="D537" s="4">
        <v>1.514951816957462E-4</v>
      </c>
      <c r="E537" s="4">
        <v>1.514951816957462E-4</v>
      </c>
      <c r="F537" s="4">
        <v>1.514951816957462E-4</v>
      </c>
      <c r="G537" s="4">
        <v>1.514951816957462E-4</v>
      </c>
      <c r="H537" s="4">
        <v>1.514951816957462E-4</v>
      </c>
      <c r="I537" s="4">
        <v>1.514951816957462E-4</v>
      </c>
      <c r="J537" s="4">
        <v>1.514951816957462E-4</v>
      </c>
      <c r="K537" s="4">
        <v>1.514951816957462E-4</v>
      </c>
      <c r="L537" s="4">
        <v>1.514951816957462E-4</v>
      </c>
      <c r="M537" s="4">
        <v>1.514951816957462E-4</v>
      </c>
      <c r="N537" t="s">
        <v>254</v>
      </c>
      <c r="O537" t="s">
        <v>774</v>
      </c>
      <c r="P537" t="s">
        <v>773</v>
      </c>
      <c r="Q537" t="s">
        <v>245</v>
      </c>
    </row>
    <row r="538" spans="1:17" x14ac:dyDescent="0.25">
      <c r="A538" t="s">
        <v>773</v>
      </c>
      <c r="B538" t="s">
        <v>119</v>
      </c>
      <c r="C538" s="4">
        <v>2.8521997857858129E-2</v>
      </c>
      <c r="D538" s="4">
        <v>2.8521997857858129E-2</v>
      </c>
      <c r="E538" s="4">
        <v>2.8521997857858129E-2</v>
      </c>
      <c r="F538" s="4">
        <v>2.8521997857858129E-2</v>
      </c>
      <c r="G538" s="4">
        <v>2.8521997857858129E-2</v>
      </c>
      <c r="H538" s="4">
        <v>2.8521997857858129E-2</v>
      </c>
      <c r="I538" s="4">
        <v>2.8521997857858129E-2</v>
      </c>
      <c r="J538" s="4">
        <v>2.8521997857858129E-2</v>
      </c>
      <c r="K538" s="4">
        <v>2.8521997857858129E-2</v>
      </c>
      <c r="L538" s="4">
        <v>2.8521997857858129E-2</v>
      </c>
      <c r="M538" s="4">
        <v>2.8521997857858129E-2</v>
      </c>
      <c r="N538" t="s">
        <v>254</v>
      </c>
      <c r="O538" t="s">
        <v>774</v>
      </c>
      <c r="P538" t="s">
        <v>773</v>
      </c>
      <c r="Q538" t="s">
        <v>245</v>
      </c>
    </row>
    <row r="539" spans="1:17" x14ac:dyDescent="0.25">
      <c r="A539" t="s">
        <v>773</v>
      </c>
      <c r="B539" t="s">
        <v>141</v>
      </c>
      <c r="C539" s="4">
        <v>1.7799168897433219E-2</v>
      </c>
      <c r="D539" s="4">
        <v>1.7799168897433219E-2</v>
      </c>
      <c r="E539" s="4">
        <v>1.7799168897433219E-2</v>
      </c>
      <c r="F539" s="4">
        <v>1.7799168897433219E-2</v>
      </c>
      <c r="G539" s="4">
        <v>1.7799168897433219E-2</v>
      </c>
      <c r="H539" s="4">
        <v>1.7799168897433219E-2</v>
      </c>
      <c r="I539" s="4">
        <v>1.7799168897433219E-2</v>
      </c>
      <c r="J539" s="4">
        <v>1.7799168897433219E-2</v>
      </c>
      <c r="K539" s="4">
        <v>1.7799168897433219E-2</v>
      </c>
      <c r="L539" s="4">
        <v>1.7799168897433219E-2</v>
      </c>
      <c r="M539" s="4">
        <v>1.7799168897433219E-2</v>
      </c>
      <c r="N539" t="s">
        <v>254</v>
      </c>
      <c r="O539" t="s">
        <v>774</v>
      </c>
      <c r="P539" t="s">
        <v>773</v>
      </c>
      <c r="Q539" t="s">
        <v>245</v>
      </c>
    </row>
    <row r="540" spans="1:17" x14ac:dyDescent="0.25">
      <c r="A540" t="s">
        <v>773</v>
      </c>
      <c r="B540" t="s">
        <v>161</v>
      </c>
      <c r="C540" s="4">
        <v>1.5663086835523199E-2</v>
      </c>
      <c r="D540" s="4">
        <v>1.5663086835523199E-2</v>
      </c>
      <c r="E540" s="4">
        <v>1.5663086835523199E-2</v>
      </c>
      <c r="F540" s="4">
        <v>1.5663086835523199E-2</v>
      </c>
      <c r="G540" s="4">
        <v>1.5663086835523199E-2</v>
      </c>
      <c r="H540" s="4">
        <v>1.5663086835523199E-2</v>
      </c>
      <c r="I540" s="4">
        <v>1.5663086835523199E-2</v>
      </c>
      <c r="J540" s="4">
        <v>1.5663086835523199E-2</v>
      </c>
      <c r="K540" s="4">
        <v>1.5663086835523199E-2</v>
      </c>
      <c r="L540" s="4">
        <v>1.5663086835523199E-2</v>
      </c>
      <c r="M540" s="4">
        <v>1.5663086835523199E-2</v>
      </c>
      <c r="N540" t="s">
        <v>254</v>
      </c>
      <c r="O540" t="s">
        <v>774</v>
      </c>
      <c r="P540" t="s">
        <v>773</v>
      </c>
      <c r="Q540" t="s">
        <v>245</v>
      </c>
    </row>
    <row r="541" spans="1:17" x14ac:dyDescent="0.25">
      <c r="A541" t="s">
        <v>773</v>
      </c>
      <c r="B541" t="s">
        <v>162</v>
      </c>
      <c r="C541" s="4">
        <v>8.9154914427946614E-3</v>
      </c>
      <c r="D541" s="4">
        <v>8.9154914427946614E-3</v>
      </c>
      <c r="E541" s="4">
        <v>8.9154914427946614E-3</v>
      </c>
      <c r="F541" s="4">
        <v>8.9154914427946614E-3</v>
      </c>
      <c r="G541" s="4">
        <v>8.9154914427946614E-3</v>
      </c>
      <c r="H541" s="4">
        <v>8.9154914427946614E-3</v>
      </c>
      <c r="I541" s="4">
        <v>8.9154914427946614E-3</v>
      </c>
      <c r="J541" s="4">
        <v>8.9154914427946614E-3</v>
      </c>
      <c r="K541" s="4">
        <v>8.9154914427946614E-3</v>
      </c>
      <c r="L541" s="4">
        <v>8.9154914427946614E-3</v>
      </c>
      <c r="M541" s="4">
        <v>8.9154914427946614E-3</v>
      </c>
      <c r="N541" t="s">
        <v>254</v>
      </c>
      <c r="O541" t="s">
        <v>774</v>
      </c>
      <c r="P541" t="s">
        <v>773</v>
      </c>
      <c r="Q541" t="s">
        <v>245</v>
      </c>
    </row>
    <row r="542" spans="1:17" x14ac:dyDescent="0.25">
      <c r="A542" t="s">
        <v>773</v>
      </c>
      <c r="B542" t="s">
        <v>132</v>
      </c>
      <c r="C542" s="4">
        <v>3.0842904041436959E-2</v>
      </c>
      <c r="D542" s="4">
        <v>3.0842904041436959E-2</v>
      </c>
      <c r="E542" s="4">
        <v>3.0842904041436959E-2</v>
      </c>
      <c r="F542" s="4">
        <v>3.0842904041436959E-2</v>
      </c>
      <c r="G542" s="4">
        <v>3.0842904041436959E-2</v>
      </c>
      <c r="H542" s="4">
        <v>3.0842904041436959E-2</v>
      </c>
      <c r="I542" s="4">
        <v>3.0842904041436959E-2</v>
      </c>
      <c r="J542" s="4">
        <v>3.0842904041436959E-2</v>
      </c>
      <c r="K542" s="4">
        <v>3.0842904041436959E-2</v>
      </c>
      <c r="L542" s="4">
        <v>3.0842904041436959E-2</v>
      </c>
      <c r="M542" s="4">
        <v>3.0842904041436959E-2</v>
      </c>
      <c r="N542" t="s">
        <v>254</v>
      </c>
      <c r="O542" t="s">
        <v>774</v>
      </c>
      <c r="P542" t="s">
        <v>773</v>
      </c>
      <c r="Q542" t="s">
        <v>245</v>
      </c>
    </row>
    <row r="543" spans="1:17" x14ac:dyDescent="0.25">
      <c r="A543" t="s">
        <v>773</v>
      </c>
      <c r="B543" t="s">
        <v>107</v>
      </c>
      <c r="C543" s="4">
        <v>1.420570318761012E-2</v>
      </c>
      <c r="D543" s="4">
        <v>1.420570318761012E-2</v>
      </c>
      <c r="E543" s="4">
        <v>1.420570318761012E-2</v>
      </c>
      <c r="F543" s="4">
        <v>1.420570318761012E-2</v>
      </c>
      <c r="G543" s="4">
        <v>1.420570318761012E-2</v>
      </c>
      <c r="H543" s="4">
        <v>1.420570318761012E-2</v>
      </c>
      <c r="I543" s="4">
        <v>1.420570318761012E-2</v>
      </c>
      <c r="J543" s="4">
        <v>1.420570318761012E-2</v>
      </c>
      <c r="K543" s="4">
        <v>1.420570318761012E-2</v>
      </c>
      <c r="L543" s="4">
        <v>1.420570318761012E-2</v>
      </c>
      <c r="M543" s="4">
        <v>1.420570318761012E-2</v>
      </c>
      <c r="N543" t="s">
        <v>254</v>
      </c>
      <c r="O543" t="s">
        <v>774</v>
      </c>
      <c r="P543" t="s">
        <v>773</v>
      </c>
      <c r="Q543" t="s">
        <v>245</v>
      </c>
    </row>
    <row r="544" spans="1:17" x14ac:dyDescent="0.25">
      <c r="A544" t="s">
        <v>773</v>
      </c>
      <c r="B544" t="s">
        <v>137</v>
      </c>
      <c r="C544" s="4">
        <v>6.8536420199155563E-3</v>
      </c>
      <c r="D544" s="4">
        <v>6.8536420199155563E-3</v>
      </c>
      <c r="E544" s="4">
        <v>6.8536420199155563E-3</v>
      </c>
      <c r="F544" s="4">
        <v>6.8536420199155563E-3</v>
      </c>
      <c r="G544" s="4">
        <v>6.8536420199155563E-3</v>
      </c>
      <c r="H544" s="4">
        <v>6.8536420199155563E-3</v>
      </c>
      <c r="I544" s="4">
        <v>6.8536420199155563E-3</v>
      </c>
      <c r="J544" s="4">
        <v>6.8536420199155563E-3</v>
      </c>
      <c r="K544" s="4">
        <v>6.8536420199155563E-3</v>
      </c>
      <c r="L544" s="4">
        <v>6.8536420199155563E-3</v>
      </c>
      <c r="M544" s="4">
        <v>6.8536420199155563E-3</v>
      </c>
      <c r="N544" t="s">
        <v>254</v>
      </c>
      <c r="O544" t="s">
        <v>774</v>
      </c>
      <c r="P544" t="s">
        <v>773</v>
      </c>
      <c r="Q544" t="s">
        <v>245</v>
      </c>
    </row>
    <row r="545" spans="1:18" x14ac:dyDescent="0.25">
      <c r="A545" t="s">
        <v>773</v>
      </c>
      <c r="B545" t="s">
        <v>143</v>
      </c>
      <c r="C545" s="4">
        <v>8.6140160312201276E-3</v>
      </c>
      <c r="D545" s="4">
        <v>8.6140160312201276E-3</v>
      </c>
      <c r="E545" s="4">
        <v>8.6140160312201276E-3</v>
      </c>
      <c r="F545" s="4">
        <v>8.6140160312201276E-3</v>
      </c>
      <c r="G545" s="4">
        <v>8.6140160312201276E-3</v>
      </c>
      <c r="H545" s="4">
        <v>8.6140160312201276E-3</v>
      </c>
      <c r="I545" s="4">
        <v>8.6140160312201276E-3</v>
      </c>
      <c r="J545" s="4">
        <v>8.6140160312201276E-3</v>
      </c>
      <c r="K545" s="4">
        <v>8.6140160312201276E-3</v>
      </c>
      <c r="L545" s="4">
        <v>8.6140160312201276E-3</v>
      </c>
      <c r="M545" s="4">
        <v>8.6140160312201276E-3</v>
      </c>
      <c r="N545" t="s">
        <v>254</v>
      </c>
      <c r="O545" t="s">
        <v>774</v>
      </c>
      <c r="P545" t="s">
        <v>773</v>
      </c>
      <c r="Q545" t="s">
        <v>245</v>
      </c>
    </row>
    <row r="546" spans="1:18" x14ac:dyDescent="0.25">
      <c r="A546" t="s">
        <v>305</v>
      </c>
      <c r="B546" t="s">
        <v>153</v>
      </c>
      <c r="C546" s="4">
        <f t="shared" ref="C546:M546" si="61">(0.0260899569876454 / ( 0.0260899569876454 + 0.0904226503711535 + 0.00131543821211861))*0.0137944095839437%</f>
        <v>3.0544133272451103E-5</v>
      </c>
      <c r="D546" s="4">
        <f t="shared" si="61"/>
        <v>3.0544133272451103E-5</v>
      </c>
      <c r="E546" s="4">
        <f t="shared" si="61"/>
        <v>3.0544133272451103E-5</v>
      </c>
      <c r="F546" s="4">
        <f t="shared" si="61"/>
        <v>3.0544133272451103E-5</v>
      </c>
      <c r="G546" s="4">
        <f t="shared" si="61"/>
        <v>3.0544133272451103E-5</v>
      </c>
      <c r="H546" s="4">
        <f t="shared" si="61"/>
        <v>3.0544133272451103E-5</v>
      </c>
      <c r="I546" s="4">
        <f t="shared" si="61"/>
        <v>3.0544133272451103E-5</v>
      </c>
      <c r="J546" s="4">
        <f t="shared" si="61"/>
        <v>3.0544133272451103E-5</v>
      </c>
      <c r="K546" s="4">
        <f t="shared" si="61"/>
        <v>3.0544133272451103E-5</v>
      </c>
      <c r="L546" s="4">
        <f t="shared" si="61"/>
        <v>3.0544133272451103E-5</v>
      </c>
      <c r="M546" s="4">
        <f t="shared" si="61"/>
        <v>3.0544133272451103E-5</v>
      </c>
      <c r="N546" t="s">
        <v>242</v>
      </c>
      <c r="O546" t="s">
        <v>315</v>
      </c>
      <c r="P546" t="s">
        <v>305</v>
      </c>
      <c r="Q546" t="s">
        <v>245</v>
      </c>
      <c r="R546" t="s">
        <v>560</v>
      </c>
    </row>
    <row r="547" spans="1:18" x14ac:dyDescent="0.25">
      <c r="A547" t="s">
        <v>305</v>
      </c>
      <c r="B547" t="s">
        <v>153</v>
      </c>
      <c r="C547" s="4">
        <f t="shared" ref="C547:M547" si="62">(0.0904226503711535 / ( 0.0260899569876454 + 0.0904226503711535 + 0.00131543821211861))*0.0137944095839437%</f>
        <v>1.0585994776045893E-4</v>
      </c>
      <c r="D547" s="4">
        <f t="shared" si="62"/>
        <v>1.0585994776045893E-4</v>
      </c>
      <c r="E547" s="4">
        <f t="shared" si="62"/>
        <v>1.0585994776045893E-4</v>
      </c>
      <c r="F547" s="4">
        <f t="shared" si="62"/>
        <v>1.0585994776045893E-4</v>
      </c>
      <c r="G547" s="4">
        <f t="shared" si="62"/>
        <v>1.0585994776045893E-4</v>
      </c>
      <c r="H547" s="4">
        <f t="shared" si="62"/>
        <v>1.0585994776045893E-4</v>
      </c>
      <c r="I547" s="4">
        <f t="shared" si="62"/>
        <v>1.0585994776045893E-4</v>
      </c>
      <c r="J547" s="4">
        <f t="shared" si="62"/>
        <v>1.0585994776045893E-4</v>
      </c>
      <c r="K547" s="4">
        <f t="shared" si="62"/>
        <v>1.0585994776045893E-4</v>
      </c>
      <c r="L547" s="4">
        <f t="shared" si="62"/>
        <v>1.0585994776045893E-4</v>
      </c>
      <c r="M547" s="4">
        <f t="shared" si="62"/>
        <v>1.0585994776045893E-4</v>
      </c>
      <c r="N547" t="s">
        <v>242</v>
      </c>
      <c r="O547" t="s">
        <v>316</v>
      </c>
      <c r="P547" t="s">
        <v>305</v>
      </c>
      <c r="Q547" t="s">
        <v>245</v>
      </c>
    </row>
    <row r="548" spans="1:18" x14ac:dyDescent="0.25">
      <c r="A548" t="s">
        <v>305</v>
      </c>
      <c r="B548" t="s">
        <v>153</v>
      </c>
      <c r="C548" s="4">
        <f t="shared" ref="C548:M548" si="63">(0.00131543821211861 / ( 0.0260899569876454 + 0.0904226503711535 + 0.00131543821211861))*0.0137944095839437%</f>
        <v>1.5400148065269669E-6</v>
      </c>
      <c r="D548" s="4">
        <f t="shared" si="63"/>
        <v>1.5400148065269669E-6</v>
      </c>
      <c r="E548" s="4">
        <f t="shared" si="63"/>
        <v>1.5400148065269669E-6</v>
      </c>
      <c r="F548" s="4">
        <f t="shared" si="63"/>
        <v>1.5400148065269669E-6</v>
      </c>
      <c r="G548" s="4">
        <f t="shared" si="63"/>
        <v>1.5400148065269669E-6</v>
      </c>
      <c r="H548" s="4">
        <f t="shared" si="63"/>
        <v>1.5400148065269669E-6</v>
      </c>
      <c r="I548" s="4">
        <f t="shared" si="63"/>
        <v>1.5400148065269669E-6</v>
      </c>
      <c r="J548" s="4">
        <f t="shared" si="63"/>
        <v>1.5400148065269669E-6</v>
      </c>
      <c r="K548" s="4">
        <f t="shared" si="63"/>
        <v>1.5400148065269669E-6</v>
      </c>
      <c r="L548" s="4">
        <f t="shared" si="63"/>
        <v>1.5400148065269669E-6</v>
      </c>
      <c r="M548" s="4">
        <f t="shared" si="63"/>
        <v>1.5400148065269669E-6</v>
      </c>
      <c r="N548" t="s">
        <v>242</v>
      </c>
      <c r="O548" t="s">
        <v>317</v>
      </c>
      <c r="P548" t="s">
        <v>305</v>
      </c>
      <c r="Q548" t="s">
        <v>245</v>
      </c>
      <c r="R548" t="s">
        <v>342</v>
      </c>
    </row>
    <row r="549" spans="1:18" x14ac:dyDescent="0.25">
      <c r="A549" t="s">
        <v>305</v>
      </c>
      <c r="B549" t="s">
        <v>124</v>
      </c>
      <c r="C549" s="4">
        <f t="shared" ref="C549:M549" si="64">(0.0260899569876454 / ( 0.0260899569876454 + 0.0904226503711535 + 0.00131543821211861))*0.0487166735794057%</f>
        <v>1.0787040658353836E-4</v>
      </c>
      <c r="D549" s="4">
        <f t="shared" si="64"/>
        <v>1.0787040658353836E-4</v>
      </c>
      <c r="E549" s="4">
        <f t="shared" si="64"/>
        <v>1.0787040658353836E-4</v>
      </c>
      <c r="F549" s="4">
        <f t="shared" si="64"/>
        <v>1.0787040658353836E-4</v>
      </c>
      <c r="G549" s="4">
        <f t="shared" si="64"/>
        <v>1.0787040658353836E-4</v>
      </c>
      <c r="H549" s="4">
        <f t="shared" si="64"/>
        <v>1.0787040658353836E-4</v>
      </c>
      <c r="I549" s="4">
        <f t="shared" si="64"/>
        <v>1.0787040658353836E-4</v>
      </c>
      <c r="J549" s="4">
        <f t="shared" si="64"/>
        <v>1.0787040658353836E-4</v>
      </c>
      <c r="K549" s="4">
        <f t="shared" si="64"/>
        <v>1.0787040658353836E-4</v>
      </c>
      <c r="L549" s="4">
        <f t="shared" si="64"/>
        <v>1.0787040658353836E-4</v>
      </c>
      <c r="M549" s="4">
        <f t="shared" si="64"/>
        <v>1.0787040658353836E-4</v>
      </c>
      <c r="N549" t="s">
        <v>242</v>
      </c>
      <c r="O549" t="s">
        <v>315</v>
      </c>
      <c r="P549" t="s">
        <v>305</v>
      </c>
      <c r="Q549" t="s">
        <v>245</v>
      </c>
    </row>
    <row r="550" spans="1:18" x14ac:dyDescent="0.25">
      <c r="A550" t="s">
        <v>305</v>
      </c>
      <c r="B550" t="s">
        <v>124</v>
      </c>
      <c r="C550" s="4">
        <f t="shared" ref="C550:M550" si="65">(0.0904226503711535 / ( 0.0260899569876454 + 0.0904226503711535 + 0.00131543821211861))*0.0487166735794057%</f>
        <v>3.7385757533124045E-4</v>
      </c>
      <c r="D550" s="4">
        <f t="shared" si="65"/>
        <v>3.7385757533124045E-4</v>
      </c>
      <c r="E550" s="4">
        <f t="shared" si="65"/>
        <v>3.7385757533124045E-4</v>
      </c>
      <c r="F550" s="4">
        <f t="shared" si="65"/>
        <v>3.7385757533124045E-4</v>
      </c>
      <c r="G550" s="4">
        <f t="shared" si="65"/>
        <v>3.7385757533124045E-4</v>
      </c>
      <c r="H550" s="4">
        <f t="shared" si="65"/>
        <v>3.7385757533124045E-4</v>
      </c>
      <c r="I550" s="4">
        <f t="shared" si="65"/>
        <v>3.7385757533124045E-4</v>
      </c>
      <c r="J550" s="4">
        <f t="shared" si="65"/>
        <v>3.7385757533124045E-4</v>
      </c>
      <c r="K550" s="4">
        <f t="shared" si="65"/>
        <v>3.7385757533124045E-4</v>
      </c>
      <c r="L550" s="4">
        <f t="shared" si="65"/>
        <v>3.7385757533124045E-4</v>
      </c>
      <c r="M550" s="4">
        <f t="shared" si="65"/>
        <v>3.7385757533124045E-4</v>
      </c>
      <c r="N550" t="s">
        <v>242</v>
      </c>
      <c r="O550" t="s">
        <v>316</v>
      </c>
      <c r="P550" t="s">
        <v>305</v>
      </c>
      <c r="Q550" t="s">
        <v>245</v>
      </c>
    </row>
    <row r="551" spans="1:18" x14ac:dyDescent="0.25">
      <c r="A551" t="s">
        <v>305</v>
      </c>
      <c r="B551" t="s">
        <v>124</v>
      </c>
      <c r="C551" s="4">
        <f t="shared" ref="C551:M551" si="66">(0.00131543821211861 / ( 0.0260899569876454 + 0.0904226503711535 + 0.00131543821211861))*0.0487166735794057%</f>
        <v>5.4387538792781779E-6</v>
      </c>
      <c r="D551" s="4">
        <f t="shared" si="66"/>
        <v>5.4387538792781779E-6</v>
      </c>
      <c r="E551" s="4">
        <f t="shared" si="66"/>
        <v>5.4387538792781779E-6</v>
      </c>
      <c r="F551" s="4">
        <f t="shared" si="66"/>
        <v>5.4387538792781779E-6</v>
      </c>
      <c r="G551" s="4">
        <f t="shared" si="66"/>
        <v>5.4387538792781779E-6</v>
      </c>
      <c r="H551" s="4">
        <f t="shared" si="66"/>
        <v>5.4387538792781779E-6</v>
      </c>
      <c r="I551" s="4">
        <f t="shared" si="66"/>
        <v>5.4387538792781779E-6</v>
      </c>
      <c r="J551" s="4">
        <f t="shared" si="66"/>
        <v>5.4387538792781779E-6</v>
      </c>
      <c r="K551" s="4">
        <f t="shared" si="66"/>
        <v>5.4387538792781779E-6</v>
      </c>
      <c r="L551" s="4">
        <f t="shared" si="66"/>
        <v>5.4387538792781779E-6</v>
      </c>
      <c r="M551" s="4">
        <f t="shared" si="66"/>
        <v>5.4387538792781779E-6</v>
      </c>
      <c r="N551" t="s">
        <v>242</v>
      </c>
      <c r="O551" t="s">
        <v>317</v>
      </c>
      <c r="P551" t="s">
        <v>305</v>
      </c>
      <c r="Q551" t="s">
        <v>245</v>
      </c>
    </row>
    <row r="552" spans="1:18" x14ac:dyDescent="0.25">
      <c r="A552" t="s">
        <v>305</v>
      </c>
      <c r="B552" t="s">
        <v>164</v>
      </c>
      <c r="C552" s="4">
        <f t="shared" ref="C552:M552" si="67">(0.0260899569876454 / ( 0.0260899569876454 + 0.0904226503711535 + 0.00131543821211861))*0.43833667824064%</f>
        <v>9.70582599922913E-4</v>
      </c>
      <c r="D552" s="4">
        <f t="shared" si="67"/>
        <v>9.70582599922913E-4</v>
      </c>
      <c r="E552" s="4">
        <f t="shared" si="67"/>
        <v>9.70582599922913E-4</v>
      </c>
      <c r="F552" s="4">
        <f t="shared" si="67"/>
        <v>9.70582599922913E-4</v>
      </c>
      <c r="G552" s="4">
        <f t="shared" si="67"/>
        <v>9.70582599922913E-4</v>
      </c>
      <c r="H552" s="4">
        <f t="shared" si="67"/>
        <v>9.70582599922913E-4</v>
      </c>
      <c r="I552" s="4">
        <f t="shared" si="67"/>
        <v>9.70582599922913E-4</v>
      </c>
      <c r="J552" s="4">
        <f t="shared" si="67"/>
        <v>9.70582599922913E-4</v>
      </c>
      <c r="K552" s="4">
        <f t="shared" si="67"/>
        <v>9.70582599922913E-4</v>
      </c>
      <c r="L552" s="4">
        <f t="shared" si="67"/>
        <v>9.70582599922913E-4</v>
      </c>
      <c r="M552" s="4">
        <f t="shared" si="67"/>
        <v>9.70582599922913E-4</v>
      </c>
      <c r="N552" t="s">
        <v>242</v>
      </c>
      <c r="O552" t="s">
        <v>315</v>
      </c>
      <c r="P552" t="s">
        <v>305</v>
      </c>
      <c r="Q552" t="s">
        <v>245</v>
      </c>
      <c r="R552" s="8"/>
    </row>
    <row r="553" spans="1:18" x14ac:dyDescent="0.25">
      <c r="A553" t="s">
        <v>305</v>
      </c>
      <c r="B553" t="s">
        <v>164</v>
      </c>
      <c r="C553" s="4">
        <f t="shared" ref="C553:M553" si="68">(0.0904226503711535 / ( 0.0260899569876454 + 0.0904226503711535 + 0.00131543821211861))*0.43833667824064%</f>
        <v>3.3638480558137256E-3</v>
      </c>
      <c r="D553" s="4">
        <f t="shared" si="68"/>
        <v>3.3638480558137256E-3</v>
      </c>
      <c r="E553" s="4">
        <f t="shared" si="68"/>
        <v>3.3638480558137256E-3</v>
      </c>
      <c r="F553" s="4">
        <f t="shared" si="68"/>
        <v>3.3638480558137256E-3</v>
      </c>
      <c r="G553" s="4">
        <f t="shared" si="68"/>
        <v>3.3638480558137256E-3</v>
      </c>
      <c r="H553" s="4">
        <f t="shared" si="68"/>
        <v>3.3638480558137256E-3</v>
      </c>
      <c r="I553" s="4">
        <f t="shared" si="68"/>
        <v>3.3638480558137256E-3</v>
      </c>
      <c r="J553" s="4">
        <f t="shared" si="68"/>
        <v>3.3638480558137256E-3</v>
      </c>
      <c r="K553" s="4">
        <f t="shared" si="68"/>
        <v>3.3638480558137256E-3</v>
      </c>
      <c r="L553" s="4">
        <f t="shared" si="68"/>
        <v>3.3638480558137256E-3</v>
      </c>
      <c r="M553" s="4">
        <f t="shared" si="68"/>
        <v>3.3638480558137256E-3</v>
      </c>
      <c r="N553" t="s">
        <v>242</v>
      </c>
      <c r="O553" t="s">
        <v>316</v>
      </c>
      <c r="P553" t="s">
        <v>305</v>
      </c>
      <c r="Q553" t="s">
        <v>245</v>
      </c>
    </row>
    <row r="554" spans="1:18" x14ac:dyDescent="0.25">
      <c r="A554" t="s">
        <v>305</v>
      </c>
      <c r="B554" t="s">
        <v>164</v>
      </c>
      <c r="C554" s="4">
        <f t="shared" ref="C554:M554" si="69">(0.00131543821211861 / ( 0.0260899569876454 + 0.0904226503711535 + 0.00131543821211861))*0.43833667824064%</f>
        <v>4.893612666976089E-5</v>
      </c>
      <c r="D554" s="4">
        <f t="shared" si="69"/>
        <v>4.893612666976089E-5</v>
      </c>
      <c r="E554" s="4">
        <f t="shared" si="69"/>
        <v>4.893612666976089E-5</v>
      </c>
      <c r="F554" s="4">
        <f t="shared" si="69"/>
        <v>4.893612666976089E-5</v>
      </c>
      <c r="G554" s="4">
        <f t="shared" si="69"/>
        <v>4.893612666976089E-5</v>
      </c>
      <c r="H554" s="4">
        <f t="shared" si="69"/>
        <v>4.893612666976089E-5</v>
      </c>
      <c r="I554" s="4">
        <f t="shared" si="69"/>
        <v>4.893612666976089E-5</v>
      </c>
      <c r="J554" s="4">
        <f t="shared" si="69"/>
        <v>4.893612666976089E-5</v>
      </c>
      <c r="K554" s="4">
        <f t="shared" si="69"/>
        <v>4.893612666976089E-5</v>
      </c>
      <c r="L554" s="4">
        <f t="shared" si="69"/>
        <v>4.893612666976089E-5</v>
      </c>
      <c r="M554" s="4">
        <f t="shared" si="69"/>
        <v>4.893612666976089E-5</v>
      </c>
      <c r="N554" t="s">
        <v>242</v>
      </c>
      <c r="O554" t="s">
        <v>317</v>
      </c>
      <c r="P554" t="s">
        <v>305</v>
      </c>
      <c r="Q554" t="s">
        <v>245</v>
      </c>
    </row>
    <row r="555" spans="1:18" x14ac:dyDescent="0.25">
      <c r="A555" t="s">
        <v>305</v>
      </c>
      <c r="B555" t="s">
        <v>83</v>
      </c>
      <c r="C555" s="4">
        <v>4.1790142695172623E-2</v>
      </c>
      <c r="D555" s="4">
        <v>4.1790142695172623E-2</v>
      </c>
      <c r="E555" s="4">
        <v>4.1790142695172623E-2</v>
      </c>
      <c r="F555" s="4">
        <v>4.1790142695172623E-2</v>
      </c>
      <c r="G555" s="4">
        <v>4.1790142695172623E-2</v>
      </c>
      <c r="H555" s="4">
        <v>4.1790142695172623E-2</v>
      </c>
      <c r="I555" s="4">
        <v>4.1790142695172623E-2</v>
      </c>
      <c r="J555" s="4">
        <v>4.1790142695172623E-2</v>
      </c>
      <c r="K555" s="4">
        <v>4.1790142695172623E-2</v>
      </c>
      <c r="L555" s="4">
        <v>4.1790142695172623E-2</v>
      </c>
      <c r="M555" s="4">
        <v>4.1790142695172623E-2</v>
      </c>
      <c r="N555" t="s">
        <v>307</v>
      </c>
      <c r="O555" t="s">
        <v>306</v>
      </c>
      <c r="P555" t="s">
        <v>305</v>
      </c>
      <c r="Q555" t="s">
        <v>245</v>
      </c>
    </row>
    <row r="556" spans="1:18" x14ac:dyDescent="0.25">
      <c r="A556" t="s">
        <v>305</v>
      </c>
      <c r="B556" t="s">
        <v>125</v>
      </c>
      <c r="C556" s="4">
        <f t="shared" ref="C556:M556" si="70">(0.0260899569876454 / ( 0.0260899569876454 + 0.0904226503711535 + 0.00131543821211861))*0.0106523282702424%</f>
        <v>2.3586811191027657E-5</v>
      </c>
      <c r="D556" s="4">
        <f t="shared" si="70"/>
        <v>2.3586811191027657E-5</v>
      </c>
      <c r="E556" s="4">
        <f t="shared" si="70"/>
        <v>2.3586811191027657E-5</v>
      </c>
      <c r="F556" s="4">
        <f t="shared" si="70"/>
        <v>2.3586811191027657E-5</v>
      </c>
      <c r="G556" s="4">
        <f t="shared" si="70"/>
        <v>2.3586811191027657E-5</v>
      </c>
      <c r="H556" s="4">
        <f t="shared" si="70"/>
        <v>2.3586811191027657E-5</v>
      </c>
      <c r="I556" s="4">
        <f t="shared" si="70"/>
        <v>2.3586811191027657E-5</v>
      </c>
      <c r="J556" s="4">
        <f t="shared" si="70"/>
        <v>2.3586811191027657E-5</v>
      </c>
      <c r="K556" s="4">
        <f t="shared" si="70"/>
        <v>2.3586811191027657E-5</v>
      </c>
      <c r="L556" s="4">
        <f t="shared" si="70"/>
        <v>2.3586811191027657E-5</v>
      </c>
      <c r="M556" s="4">
        <f t="shared" si="70"/>
        <v>2.3586811191027657E-5</v>
      </c>
      <c r="N556" t="s">
        <v>242</v>
      </c>
      <c r="O556" t="s">
        <v>315</v>
      </c>
      <c r="P556" t="s">
        <v>305</v>
      </c>
      <c r="Q556" t="s">
        <v>245</v>
      </c>
    </row>
    <row r="557" spans="1:18" x14ac:dyDescent="0.25">
      <c r="A557" t="s">
        <v>305</v>
      </c>
      <c r="B557" t="s">
        <v>125</v>
      </c>
      <c r="C557" s="4">
        <f t="shared" ref="C557:M557" si="71">(0.0904226503711535 / ( 0.0260899569876454 + 0.0904226503711535 + 0.00131543821211861))*0.0106523282702424%</f>
        <v>8.1747240239095017E-5</v>
      </c>
      <c r="D557" s="4">
        <f t="shared" si="71"/>
        <v>8.1747240239095017E-5</v>
      </c>
      <c r="E557" s="4">
        <f t="shared" si="71"/>
        <v>8.1747240239095017E-5</v>
      </c>
      <c r="F557" s="4">
        <f t="shared" si="71"/>
        <v>8.1747240239095017E-5</v>
      </c>
      <c r="G557" s="4">
        <f t="shared" si="71"/>
        <v>8.1747240239095017E-5</v>
      </c>
      <c r="H557" s="4">
        <f t="shared" si="71"/>
        <v>8.1747240239095017E-5</v>
      </c>
      <c r="I557" s="4">
        <f t="shared" si="71"/>
        <v>8.1747240239095017E-5</v>
      </c>
      <c r="J557" s="4">
        <f t="shared" si="71"/>
        <v>8.1747240239095017E-5</v>
      </c>
      <c r="K557" s="4">
        <f t="shared" si="71"/>
        <v>8.1747240239095017E-5</v>
      </c>
      <c r="L557" s="4">
        <f t="shared" si="71"/>
        <v>8.1747240239095017E-5</v>
      </c>
      <c r="M557" s="4">
        <f t="shared" si="71"/>
        <v>8.1747240239095017E-5</v>
      </c>
      <c r="N557" t="s">
        <v>242</v>
      </c>
      <c r="O557" t="s">
        <v>316</v>
      </c>
      <c r="P557" t="s">
        <v>305</v>
      </c>
      <c r="Q557" t="s">
        <v>245</v>
      </c>
    </row>
    <row r="558" spans="1:18" x14ac:dyDescent="0.25">
      <c r="A558" t="s">
        <v>305</v>
      </c>
      <c r="B558" t="s">
        <v>125</v>
      </c>
      <c r="C558" s="4">
        <f t="shared" ref="C558:M558" si="72">(0.00131543821211861 / ( 0.0260899569876454 + 0.0904226503711535 + 0.00131543821211861))*0.0106523282702424%</f>
        <v>1.1892312723013346E-6</v>
      </c>
      <c r="D558" s="4">
        <f t="shared" si="72"/>
        <v>1.1892312723013346E-6</v>
      </c>
      <c r="E558" s="4">
        <f t="shared" si="72"/>
        <v>1.1892312723013346E-6</v>
      </c>
      <c r="F558" s="4">
        <f t="shared" si="72"/>
        <v>1.1892312723013346E-6</v>
      </c>
      <c r="G558" s="4">
        <f t="shared" si="72"/>
        <v>1.1892312723013346E-6</v>
      </c>
      <c r="H558" s="4">
        <f t="shared" si="72"/>
        <v>1.1892312723013346E-6</v>
      </c>
      <c r="I558" s="4">
        <f t="shared" si="72"/>
        <v>1.1892312723013346E-6</v>
      </c>
      <c r="J558" s="4">
        <f t="shared" si="72"/>
        <v>1.1892312723013346E-6</v>
      </c>
      <c r="K558" s="4">
        <f t="shared" si="72"/>
        <v>1.1892312723013346E-6</v>
      </c>
      <c r="L558" s="4">
        <f t="shared" si="72"/>
        <v>1.1892312723013346E-6</v>
      </c>
      <c r="M558" s="4">
        <f t="shared" si="72"/>
        <v>1.1892312723013346E-6</v>
      </c>
      <c r="N558" t="s">
        <v>242</v>
      </c>
      <c r="O558" t="s">
        <v>317</v>
      </c>
      <c r="P558" t="s">
        <v>305</v>
      </c>
      <c r="Q558" t="s">
        <v>245</v>
      </c>
    </row>
    <row r="559" spans="1:18" x14ac:dyDescent="0.25">
      <c r="A559" t="s">
        <v>305</v>
      </c>
      <c r="B559" t="s">
        <v>144</v>
      </c>
      <c r="C559" s="4">
        <f t="shared" ref="C559:M559" si="73">(0.0260899569876454 / ( 0.0260899569876454 + 0.0904226503711535 + 0.00131543821211861))*0.0221435057719409%</f>
        <v>4.9031035891866667E-5</v>
      </c>
      <c r="D559" s="4">
        <f t="shared" si="73"/>
        <v>4.9031035891866667E-5</v>
      </c>
      <c r="E559" s="4">
        <f t="shared" si="73"/>
        <v>4.9031035891866667E-5</v>
      </c>
      <c r="F559" s="4">
        <f t="shared" si="73"/>
        <v>4.9031035891866667E-5</v>
      </c>
      <c r="G559" s="4">
        <f t="shared" si="73"/>
        <v>4.9031035891866667E-5</v>
      </c>
      <c r="H559" s="4">
        <f t="shared" si="73"/>
        <v>4.9031035891866667E-5</v>
      </c>
      <c r="I559" s="4">
        <f t="shared" si="73"/>
        <v>4.9031035891866667E-5</v>
      </c>
      <c r="J559" s="4">
        <f t="shared" si="73"/>
        <v>4.9031035891866667E-5</v>
      </c>
      <c r="K559" s="4">
        <f t="shared" si="73"/>
        <v>4.9031035891866667E-5</v>
      </c>
      <c r="L559" s="4">
        <f t="shared" si="73"/>
        <v>4.9031035891866667E-5</v>
      </c>
      <c r="M559" s="4">
        <f t="shared" si="73"/>
        <v>4.9031035891866667E-5</v>
      </c>
      <c r="N559" t="s">
        <v>242</v>
      </c>
      <c r="O559" t="s">
        <v>315</v>
      </c>
      <c r="P559" t="s">
        <v>305</v>
      </c>
      <c r="Q559" t="s">
        <v>245</v>
      </c>
    </row>
    <row r="560" spans="1:18" x14ac:dyDescent="0.25">
      <c r="A560" t="s">
        <v>305</v>
      </c>
      <c r="B560" t="s">
        <v>144</v>
      </c>
      <c r="C560" s="4">
        <f t="shared" ref="C560:M560" si="74">(0.0904226503711535 / ( 0.0260899569876454 + 0.0904226503711535 + 0.00131543821211861))*0.0221435057719409%</f>
        <v>1.699319097338941E-4</v>
      </c>
      <c r="D560" s="4">
        <f t="shared" si="74"/>
        <v>1.699319097338941E-4</v>
      </c>
      <c r="E560" s="4">
        <f t="shared" si="74"/>
        <v>1.699319097338941E-4</v>
      </c>
      <c r="F560" s="4">
        <f t="shared" si="74"/>
        <v>1.699319097338941E-4</v>
      </c>
      <c r="G560" s="4">
        <f t="shared" si="74"/>
        <v>1.699319097338941E-4</v>
      </c>
      <c r="H560" s="4">
        <f t="shared" si="74"/>
        <v>1.699319097338941E-4</v>
      </c>
      <c r="I560" s="4">
        <f t="shared" si="74"/>
        <v>1.699319097338941E-4</v>
      </c>
      <c r="J560" s="4">
        <f t="shared" si="74"/>
        <v>1.699319097338941E-4</v>
      </c>
      <c r="K560" s="4">
        <f t="shared" si="74"/>
        <v>1.699319097338941E-4</v>
      </c>
      <c r="L560" s="4">
        <f t="shared" si="74"/>
        <v>1.699319097338941E-4</v>
      </c>
      <c r="M560" s="4">
        <f t="shared" si="74"/>
        <v>1.699319097338941E-4</v>
      </c>
      <c r="N560" t="s">
        <v>242</v>
      </c>
      <c r="O560" t="s">
        <v>316</v>
      </c>
      <c r="P560" t="s">
        <v>305</v>
      </c>
      <c r="Q560" t="s">
        <v>245</v>
      </c>
    </row>
    <row r="561" spans="1:17" x14ac:dyDescent="0.25">
      <c r="A561" t="s">
        <v>305</v>
      </c>
      <c r="B561" t="s">
        <v>144</v>
      </c>
      <c r="C561" s="4">
        <f t="shared" ref="C561:M561" si="75">(0.00131543821211861 / ( 0.0260899569876454 + 0.0904226503711535 + 0.00131543821211861))*0.0221435057719409%</f>
        <v>2.4721120936482353E-6</v>
      </c>
      <c r="D561" s="4">
        <f t="shared" si="75"/>
        <v>2.4721120936482353E-6</v>
      </c>
      <c r="E561" s="4">
        <f t="shared" si="75"/>
        <v>2.4721120936482353E-6</v>
      </c>
      <c r="F561" s="4">
        <f t="shared" si="75"/>
        <v>2.4721120936482353E-6</v>
      </c>
      <c r="G561" s="4">
        <f t="shared" si="75"/>
        <v>2.4721120936482353E-6</v>
      </c>
      <c r="H561" s="4">
        <f t="shared" si="75"/>
        <v>2.4721120936482353E-6</v>
      </c>
      <c r="I561" s="4">
        <f t="shared" si="75"/>
        <v>2.4721120936482353E-6</v>
      </c>
      <c r="J561" s="4">
        <f t="shared" si="75"/>
        <v>2.4721120936482353E-6</v>
      </c>
      <c r="K561" s="4">
        <f t="shared" si="75"/>
        <v>2.4721120936482353E-6</v>
      </c>
      <c r="L561" s="4">
        <f t="shared" si="75"/>
        <v>2.4721120936482353E-6</v>
      </c>
      <c r="M561" s="4">
        <f t="shared" si="75"/>
        <v>2.4721120936482353E-6</v>
      </c>
      <c r="N561" t="s">
        <v>242</v>
      </c>
      <c r="O561" t="s">
        <v>317</v>
      </c>
      <c r="P561" t="s">
        <v>305</v>
      </c>
      <c r="Q561" t="s">
        <v>245</v>
      </c>
    </row>
    <row r="562" spans="1:17" x14ac:dyDescent="0.25">
      <c r="A562" t="s">
        <v>305</v>
      </c>
      <c r="B562" t="s">
        <v>165</v>
      </c>
      <c r="C562" s="4">
        <f t="shared" ref="C562:M562" si="76">(0.0260899569876454 / ( 0.0260899569876454 + 0.0904226503711535 + 0.00131543821211861))*0.0138780062427486%</f>
        <v>3.072923633700274E-5</v>
      </c>
      <c r="D562" s="4">
        <f t="shared" si="76"/>
        <v>3.072923633700274E-5</v>
      </c>
      <c r="E562" s="4">
        <f t="shared" si="76"/>
        <v>3.072923633700274E-5</v>
      </c>
      <c r="F562" s="4">
        <f t="shared" si="76"/>
        <v>3.072923633700274E-5</v>
      </c>
      <c r="G562" s="4">
        <f t="shared" si="76"/>
        <v>3.072923633700274E-5</v>
      </c>
      <c r="H562" s="4">
        <f t="shared" si="76"/>
        <v>3.072923633700274E-5</v>
      </c>
      <c r="I562" s="4">
        <f t="shared" si="76"/>
        <v>3.072923633700274E-5</v>
      </c>
      <c r="J562" s="4">
        <f t="shared" si="76"/>
        <v>3.072923633700274E-5</v>
      </c>
      <c r="K562" s="4">
        <f t="shared" si="76"/>
        <v>3.072923633700274E-5</v>
      </c>
      <c r="L562" s="4">
        <f t="shared" si="76"/>
        <v>3.072923633700274E-5</v>
      </c>
      <c r="M562" s="4">
        <f t="shared" si="76"/>
        <v>3.072923633700274E-5</v>
      </c>
      <c r="N562" t="s">
        <v>242</v>
      </c>
      <c r="O562" t="s">
        <v>315</v>
      </c>
      <c r="P562" t="s">
        <v>305</v>
      </c>
      <c r="Q562" t="s">
        <v>245</v>
      </c>
    </row>
    <row r="563" spans="1:17" x14ac:dyDescent="0.25">
      <c r="A563" t="s">
        <v>305</v>
      </c>
      <c r="B563" t="s">
        <v>165</v>
      </c>
      <c r="C563" s="4">
        <f t="shared" ref="C563:M563" si="77">(0.0904226503711535 / ( 0.0260899569876454 + 0.0904226503711535 + 0.00131543821211861))*0.0138780062427486%</f>
        <v>1.0650147851102735E-4</v>
      </c>
      <c r="D563" s="4">
        <f t="shared" si="77"/>
        <v>1.0650147851102735E-4</v>
      </c>
      <c r="E563" s="4">
        <f t="shared" si="77"/>
        <v>1.0650147851102735E-4</v>
      </c>
      <c r="F563" s="4">
        <f t="shared" si="77"/>
        <v>1.0650147851102735E-4</v>
      </c>
      <c r="G563" s="4">
        <f t="shared" si="77"/>
        <v>1.0650147851102735E-4</v>
      </c>
      <c r="H563" s="4">
        <f t="shared" si="77"/>
        <v>1.0650147851102735E-4</v>
      </c>
      <c r="I563" s="4">
        <f t="shared" si="77"/>
        <v>1.0650147851102735E-4</v>
      </c>
      <c r="J563" s="4">
        <f t="shared" si="77"/>
        <v>1.0650147851102735E-4</v>
      </c>
      <c r="K563" s="4">
        <f t="shared" si="77"/>
        <v>1.0650147851102735E-4</v>
      </c>
      <c r="L563" s="4">
        <f t="shared" si="77"/>
        <v>1.0650147851102735E-4</v>
      </c>
      <c r="M563" s="4">
        <f t="shared" si="77"/>
        <v>1.0650147851102735E-4</v>
      </c>
      <c r="N563" t="s">
        <v>242</v>
      </c>
      <c r="O563" t="s">
        <v>316</v>
      </c>
      <c r="P563" t="s">
        <v>305</v>
      </c>
      <c r="Q563" t="s">
        <v>245</v>
      </c>
    </row>
    <row r="564" spans="1:17" x14ac:dyDescent="0.25">
      <c r="A564" t="s">
        <v>305</v>
      </c>
      <c r="B564" t="s">
        <v>165</v>
      </c>
      <c r="C564" s="4">
        <f t="shared" ref="C564:M564" si="78">(0.00131543821211861 / ( 0.0260899569876454 + 0.0904226503711535 + 0.00131543821211861))*0.0138780062427486%</f>
        <v>1.5493475794559062E-6</v>
      </c>
      <c r="D564" s="4">
        <f t="shared" si="78"/>
        <v>1.5493475794559062E-6</v>
      </c>
      <c r="E564" s="4">
        <f t="shared" si="78"/>
        <v>1.5493475794559062E-6</v>
      </c>
      <c r="F564" s="4">
        <f t="shared" si="78"/>
        <v>1.5493475794559062E-6</v>
      </c>
      <c r="G564" s="4">
        <f t="shared" si="78"/>
        <v>1.5493475794559062E-6</v>
      </c>
      <c r="H564" s="4">
        <f t="shared" si="78"/>
        <v>1.5493475794559062E-6</v>
      </c>
      <c r="I564" s="4">
        <f t="shared" si="78"/>
        <v>1.5493475794559062E-6</v>
      </c>
      <c r="J564" s="4">
        <f t="shared" si="78"/>
        <v>1.5493475794559062E-6</v>
      </c>
      <c r="K564" s="4">
        <f t="shared" si="78"/>
        <v>1.5493475794559062E-6</v>
      </c>
      <c r="L564" s="4">
        <f t="shared" si="78"/>
        <v>1.5493475794559062E-6</v>
      </c>
      <c r="M564" s="4">
        <f t="shared" si="78"/>
        <v>1.5493475794559062E-6</v>
      </c>
      <c r="N564" t="s">
        <v>242</v>
      </c>
      <c r="O564" t="s">
        <v>317</v>
      </c>
      <c r="P564" t="s">
        <v>305</v>
      </c>
      <c r="Q564" t="s">
        <v>245</v>
      </c>
    </row>
    <row r="565" spans="1:17" x14ac:dyDescent="0.25">
      <c r="A565" t="s">
        <v>305</v>
      </c>
      <c r="B565" t="s">
        <v>85</v>
      </c>
      <c r="C565" s="4">
        <f t="shared" ref="C565:M565" si="79">(0.0260899569876454 / ( 0.0260899569876454 + 0.0904226503711535 + 0.00131543821211861))*1.75072831186781%</f>
        <v>3.8765326312904685E-3</v>
      </c>
      <c r="D565" s="4">
        <f t="shared" si="79"/>
        <v>3.8765326312904685E-3</v>
      </c>
      <c r="E565" s="4">
        <f t="shared" si="79"/>
        <v>3.8765326312904685E-3</v>
      </c>
      <c r="F565" s="4">
        <f t="shared" si="79"/>
        <v>3.8765326312904685E-3</v>
      </c>
      <c r="G565" s="4">
        <f t="shared" si="79"/>
        <v>3.8765326312904685E-3</v>
      </c>
      <c r="H565" s="4">
        <f t="shared" si="79"/>
        <v>3.8765326312904685E-3</v>
      </c>
      <c r="I565" s="4">
        <f t="shared" si="79"/>
        <v>3.8765326312904685E-3</v>
      </c>
      <c r="J565" s="4">
        <f t="shared" si="79"/>
        <v>3.8765326312904685E-3</v>
      </c>
      <c r="K565" s="4">
        <f t="shared" si="79"/>
        <v>3.8765326312904685E-3</v>
      </c>
      <c r="L565" s="4">
        <f t="shared" si="79"/>
        <v>3.8765326312904685E-3</v>
      </c>
      <c r="M565" s="4">
        <f t="shared" si="79"/>
        <v>3.8765326312904685E-3</v>
      </c>
      <c r="N565" t="s">
        <v>242</v>
      </c>
      <c r="O565" t="s">
        <v>315</v>
      </c>
      <c r="P565" t="s">
        <v>305</v>
      </c>
      <c r="Q565" t="s">
        <v>245</v>
      </c>
    </row>
    <row r="566" spans="1:17" x14ac:dyDescent="0.25">
      <c r="A566" t="s">
        <v>305</v>
      </c>
      <c r="B566" t="s">
        <v>85</v>
      </c>
      <c r="C566" s="4">
        <f t="shared" ref="C566:M566" si="80">(0.0904226503711535 / ( 0.0260899569876454 + 0.0904226503711535 + 0.00131543821211861))*1.75072831186781%</f>
        <v>1.3435298300320442E-2</v>
      </c>
      <c r="D566" s="4">
        <f t="shared" si="80"/>
        <v>1.3435298300320442E-2</v>
      </c>
      <c r="E566" s="4">
        <f t="shared" si="80"/>
        <v>1.3435298300320442E-2</v>
      </c>
      <c r="F566" s="4">
        <f t="shared" si="80"/>
        <v>1.3435298300320442E-2</v>
      </c>
      <c r="G566" s="4">
        <f t="shared" si="80"/>
        <v>1.3435298300320442E-2</v>
      </c>
      <c r="H566" s="4">
        <f t="shared" si="80"/>
        <v>1.3435298300320442E-2</v>
      </c>
      <c r="I566" s="4">
        <f t="shared" si="80"/>
        <v>1.3435298300320442E-2</v>
      </c>
      <c r="J566" s="4">
        <f t="shared" si="80"/>
        <v>1.3435298300320442E-2</v>
      </c>
      <c r="K566" s="4">
        <f t="shared" si="80"/>
        <v>1.3435298300320442E-2</v>
      </c>
      <c r="L566" s="4">
        <f t="shared" si="80"/>
        <v>1.3435298300320442E-2</v>
      </c>
      <c r="M566" s="4">
        <f t="shared" si="80"/>
        <v>1.3435298300320442E-2</v>
      </c>
      <c r="N566" t="s">
        <v>242</v>
      </c>
      <c r="O566" t="s">
        <v>316</v>
      </c>
      <c r="P566" t="s">
        <v>305</v>
      </c>
      <c r="Q566" t="s">
        <v>245</v>
      </c>
    </row>
    <row r="567" spans="1:17" x14ac:dyDescent="0.25">
      <c r="A567" t="s">
        <v>305</v>
      </c>
      <c r="B567" t="s">
        <v>85</v>
      </c>
      <c r="C567" s="4">
        <f t="shared" ref="C567:M567" si="81">(0.00131543821211861 / ( 0.0260899569876454 + 0.0904226503711535 + 0.00131543821211861))*1.75072831186781%</f>
        <v>1.9545218706718901E-4</v>
      </c>
      <c r="D567" s="4">
        <f t="shared" si="81"/>
        <v>1.9545218706718901E-4</v>
      </c>
      <c r="E567" s="4">
        <f t="shared" si="81"/>
        <v>1.9545218706718901E-4</v>
      </c>
      <c r="F567" s="4">
        <f t="shared" si="81"/>
        <v>1.9545218706718901E-4</v>
      </c>
      <c r="G567" s="4">
        <f t="shared" si="81"/>
        <v>1.9545218706718901E-4</v>
      </c>
      <c r="H567" s="4">
        <f t="shared" si="81"/>
        <v>1.9545218706718901E-4</v>
      </c>
      <c r="I567" s="4">
        <f t="shared" si="81"/>
        <v>1.9545218706718901E-4</v>
      </c>
      <c r="J567" s="4">
        <f t="shared" si="81"/>
        <v>1.9545218706718901E-4</v>
      </c>
      <c r="K567" s="4">
        <f t="shared" si="81"/>
        <v>1.9545218706718901E-4</v>
      </c>
      <c r="L567" s="4">
        <f t="shared" si="81"/>
        <v>1.9545218706718901E-4</v>
      </c>
      <c r="M567" s="4">
        <f t="shared" si="81"/>
        <v>1.9545218706718901E-4</v>
      </c>
      <c r="N567" t="s">
        <v>242</v>
      </c>
      <c r="O567" t="s">
        <v>317</v>
      </c>
      <c r="P567" t="s">
        <v>305</v>
      </c>
      <c r="Q567" t="s">
        <v>245</v>
      </c>
    </row>
    <row r="568" spans="1:17" x14ac:dyDescent="0.25">
      <c r="A568" t="s">
        <v>305</v>
      </c>
      <c r="B568" t="s">
        <v>147</v>
      </c>
      <c r="C568" s="4">
        <f t="shared" ref="C568:M568" si="82">(0.0260899569876454 / ( 0.0260899569876454 + 0.0904226503711535 + 0.00131543821211861))*0.343294964228557%</f>
        <v>7.6013743649915781E-4</v>
      </c>
      <c r="D568" s="4">
        <f t="shared" si="82"/>
        <v>7.6013743649915781E-4</v>
      </c>
      <c r="E568" s="4">
        <f t="shared" si="82"/>
        <v>7.6013743649915781E-4</v>
      </c>
      <c r="F568" s="4">
        <f t="shared" si="82"/>
        <v>7.6013743649915781E-4</v>
      </c>
      <c r="G568" s="4">
        <f t="shared" si="82"/>
        <v>7.6013743649915781E-4</v>
      </c>
      <c r="H568" s="4">
        <f t="shared" si="82"/>
        <v>7.6013743649915781E-4</v>
      </c>
      <c r="I568" s="4">
        <f t="shared" si="82"/>
        <v>7.6013743649915781E-4</v>
      </c>
      <c r="J568" s="4">
        <f t="shared" si="82"/>
        <v>7.6013743649915781E-4</v>
      </c>
      <c r="K568" s="4">
        <f t="shared" si="82"/>
        <v>7.6013743649915781E-4</v>
      </c>
      <c r="L568" s="4">
        <f t="shared" si="82"/>
        <v>7.6013743649915781E-4</v>
      </c>
      <c r="M568" s="4">
        <f t="shared" si="82"/>
        <v>7.6013743649915781E-4</v>
      </c>
      <c r="N568" t="s">
        <v>242</v>
      </c>
      <c r="O568" t="s">
        <v>315</v>
      </c>
      <c r="P568" t="s">
        <v>305</v>
      </c>
      <c r="Q568" t="s">
        <v>245</v>
      </c>
    </row>
    <row r="569" spans="1:17" x14ac:dyDescent="0.25">
      <c r="A569" t="s">
        <v>305</v>
      </c>
      <c r="B569" t="s">
        <v>147</v>
      </c>
      <c r="C569" s="4">
        <f t="shared" ref="C569:M569" si="83">(0.0904226503711535 / ( 0.0260899569876454 + 0.0904226503711535 + 0.00131543821211861))*0.343294964228557%</f>
        <v>2.6344865837508382E-3</v>
      </c>
      <c r="D569" s="4">
        <f t="shared" si="83"/>
        <v>2.6344865837508382E-3</v>
      </c>
      <c r="E569" s="4">
        <f t="shared" si="83"/>
        <v>2.6344865837508382E-3</v>
      </c>
      <c r="F569" s="4">
        <f t="shared" si="83"/>
        <v>2.6344865837508382E-3</v>
      </c>
      <c r="G569" s="4">
        <f t="shared" si="83"/>
        <v>2.6344865837508382E-3</v>
      </c>
      <c r="H569" s="4">
        <f t="shared" si="83"/>
        <v>2.6344865837508382E-3</v>
      </c>
      <c r="I569" s="4">
        <f t="shared" si="83"/>
        <v>2.6344865837508382E-3</v>
      </c>
      <c r="J569" s="4">
        <f t="shared" si="83"/>
        <v>2.6344865837508382E-3</v>
      </c>
      <c r="K569" s="4">
        <f t="shared" si="83"/>
        <v>2.6344865837508382E-3</v>
      </c>
      <c r="L569" s="4">
        <f t="shared" si="83"/>
        <v>2.6344865837508382E-3</v>
      </c>
      <c r="M569" s="4">
        <f t="shared" si="83"/>
        <v>2.6344865837508382E-3</v>
      </c>
      <c r="N569" t="s">
        <v>242</v>
      </c>
      <c r="O569" t="s">
        <v>316</v>
      </c>
      <c r="P569" t="s">
        <v>305</v>
      </c>
      <c r="Q569" t="s">
        <v>245</v>
      </c>
    </row>
    <row r="570" spans="1:17" x14ac:dyDescent="0.25">
      <c r="A570" t="s">
        <v>305</v>
      </c>
      <c r="B570" t="s">
        <v>147</v>
      </c>
      <c r="C570" s="4">
        <f t="shared" ref="C570:M570" si="84">(0.00131543821211861 / ( 0.0260899569876454 + 0.0904226503711535 + 0.00131543821211861))*0.343294964228557%</f>
        <v>3.832562203557381E-5</v>
      </c>
      <c r="D570" s="4">
        <f t="shared" si="84"/>
        <v>3.832562203557381E-5</v>
      </c>
      <c r="E570" s="4">
        <f t="shared" si="84"/>
        <v>3.832562203557381E-5</v>
      </c>
      <c r="F570" s="4">
        <f t="shared" si="84"/>
        <v>3.832562203557381E-5</v>
      </c>
      <c r="G570" s="4">
        <f t="shared" si="84"/>
        <v>3.832562203557381E-5</v>
      </c>
      <c r="H570" s="4">
        <f t="shared" si="84"/>
        <v>3.832562203557381E-5</v>
      </c>
      <c r="I570" s="4">
        <f t="shared" si="84"/>
        <v>3.832562203557381E-5</v>
      </c>
      <c r="J570" s="4">
        <f t="shared" si="84"/>
        <v>3.832562203557381E-5</v>
      </c>
      <c r="K570" s="4">
        <f t="shared" si="84"/>
        <v>3.832562203557381E-5</v>
      </c>
      <c r="L570" s="4">
        <f t="shared" si="84"/>
        <v>3.832562203557381E-5</v>
      </c>
      <c r="M570" s="4">
        <f t="shared" si="84"/>
        <v>3.832562203557381E-5</v>
      </c>
      <c r="N570" t="s">
        <v>242</v>
      </c>
      <c r="O570" t="s">
        <v>317</v>
      </c>
      <c r="P570" t="s">
        <v>305</v>
      </c>
      <c r="Q570" t="s">
        <v>245</v>
      </c>
    </row>
    <row r="571" spans="1:17" x14ac:dyDescent="0.25">
      <c r="A571" t="s">
        <v>305</v>
      </c>
      <c r="B571" t="s">
        <v>116</v>
      </c>
      <c r="C571" s="4">
        <f t="shared" ref="C571:M571" si="85">(0.0385427501095062/(0.0385427501095062+0.000558972017421674))*2.72987483706459%</f>
        <v>2.6908503756858979E-2</v>
      </c>
      <c r="D571" s="4">
        <f t="shared" si="85"/>
        <v>2.6908503756858979E-2</v>
      </c>
      <c r="E571" s="4">
        <f t="shared" si="85"/>
        <v>2.6908503756858979E-2</v>
      </c>
      <c r="F571" s="4">
        <f t="shared" si="85"/>
        <v>2.6908503756858979E-2</v>
      </c>
      <c r="G571" s="4">
        <f t="shared" si="85"/>
        <v>2.6908503756858979E-2</v>
      </c>
      <c r="H571" s="4">
        <f t="shared" si="85"/>
        <v>2.6908503756858979E-2</v>
      </c>
      <c r="I571" s="4">
        <f t="shared" si="85"/>
        <v>2.6908503756858979E-2</v>
      </c>
      <c r="J571" s="4">
        <f t="shared" si="85"/>
        <v>2.6908503756858979E-2</v>
      </c>
      <c r="K571" s="4">
        <f t="shared" si="85"/>
        <v>2.6908503756858979E-2</v>
      </c>
      <c r="L571" s="4">
        <f t="shared" si="85"/>
        <v>2.6908503756858979E-2</v>
      </c>
      <c r="M571" s="4">
        <f t="shared" si="85"/>
        <v>2.6908503756858979E-2</v>
      </c>
      <c r="N571" t="s">
        <v>270</v>
      </c>
      <c r="O571" t="s">
        <v>306</v>
      </c>
      <c r="P571" t="s">
        <v>305</v>
      </c>
      <c r="Q571" t="s">
        <v>245</v>
      </c>
    </row>
    <row r="572" spans="1:17" x14ac:dyDescent="0.25">
      <c r="A572" t="s">
        <v>305</v>
      </c>
      <c r="B572" t="s">
        <v>116</v>
      </c>
      <c r="C572" s="4">
        <f t="shared" ref="C572:M572" si="86">(0.000558972017421674/(0.0385427501095062+0.000558972017421674))*2.72987483706459%</f>
        <v>3.9024461378692367E-4</v>
      </c>
      <c r="D572" s="4">
        <f t="shared" si="86"/>
        <v>3.9024461378692367E-4</v>
      </c>
      <c r="E572" s="4">
        <f t="shared" si="86"/>
        <v>3.9024461378692367E-4</v>
      </c>
      <c r="F572" s="4">
        <f t="shared" si="86"/>
        <v>3.9024461378692367E-4</v>
      </c>
      <c r="G572" s="4">
        <f t="shared" si="86"/>
        <v>3.9024461378692367E-4</v>
      </c>
      <c r="H572" s="4">
        <f t="shared" si="86"/>
        <v>3.9024461378692367E-4</v>
      </c>
      <c r="I572" s="4">
        <f t="shared" si="86"/>
        <v>3.9024461378692367E-4</v>
      </c>
      <c r="J572" s="4">
        <f t="shared" si="86"/>
        <v>3.9024461378692367E-4</v>
      </c>
      <c r="K572" s="4">
        <f t="shared" si="86"/>
        <v>3.9024461378692367E-4</v>
      </c>
      <c r="L572" s="4">
        <f t="shared" si="86"/>
        <v>3.9024461378692367E-4</v>
      </c>
      <c r="M572" s="4">
        <f t="shared" si="86"/>
        <v>3.9024461378692367E-4</v>
      </c>
      <c r="N572" t="s">
        <v>288</v>
      </c>
      <c r="O572" t="s">
        <v>309</v>
      </c>
      <c r="P572" t="s">
        <v>305</v>
      </c>
      <c r="Q572" t="s">
        <v>245</v>
      </c>
    </row>
    <row r="573" spans="1:17" x14ac:dyDescent="0.25">
      <c r="A573" t="s">
        <v>305</v>
      </c>
      <c r="B573" t="s">
        <v>145</v>
      </c>
      <c r="C573" s="4">
        <v>0.27366375184975622</v>
      </c>
      <c r="D573" s="4">
        <v>0.27366375184975622</v>
      </c>
      <c r="E573" s="4">
        <v>0.27366375184975622</v>
      </c>
      <c r="F573" s="4">
        <v>0.27366375184975622</v>
      </c>
      <c r="G573" s="4">
        <v>0.27366375184975622</v>
      </c>
      <c r="H573" s="4">
        <v>0.27366375184975622</v>
      </c>
      <c r="I573" s="4">
        <v>0.27366375184975622</v>
      </c>
      <c r="J573" s="4">
        <v>0.27366375184975622</v>
      </c>
      <c r="K573" s="4">
        <v>0.27366375184975622</v>
      </c>
      <c r="L573" s="4">
        <v>0.27366375184975622</v>
      </c>
      <c r="M573" s="4">
        <v>0.27366375184975622</v>
      </c>
      <c r="N573" t="s">
        <v>311</v>
      </c>
      <c r="O573" t="s">
        <v>306</v>
      </c>
      <c r="P573" t="s">
        <v>305</v>
      </c>
      <c r="Q573" t="s">
        <v>245</v>
      </c>
    </row>
    <row r="574" spans="1:17" x14ac:dyDescent="0.25">
      <c r="A574" t="s">
        <v>305</v>
      </c>
      <c r="B574" t="s">
        <v>86</v>
      </c>
      <c r="C574" s="4">
        <v>8.1467672907797828E-2</v>
      </c>
      <c r="D574" s="4">
        <v>8.1467672907797828E-2</v>
      </c>
      <c r="E574" s="4">
        <v>8.1467672907797828E-2</v>
      </c>
      <c r="F574" s="4">
        <v>8.1467672907797828E-2</v>
      </c>
      <c r="G574" s="4">
        <v>8.1467672907797828E-2</v>
      </c>
      <c r="H574" s="4">
        <v>8.1467672907797828E-2</v>
      </c>
      <c r="I574" s="4">
        <v>8.1467672907797828E-2</v>
      </c>
      <c r="J574" s="4">
        <v>8.1467672907797828E-2</v>
      </c>
      <c r="K574" s="4">
        <v>8.1467672907797828E-2</v>
      </c>
      <c r="L574" s="4">
        <v>8.1467672907797828E-2</v>
      </c>
      <c r="M574" s="4">
        <v>8.1467672907797828E-2</v>
      </c>
      <c r="N574" t="s">
        <v>254</v>
      </c>
      <c r="O574" t="s">
        <v>306</v>
      </c>
      <c r="P574" t="s">
        <v>305</v>
      </c>
      <c r="Q574" t="s">
        <v>245</v>
      </c>
    </row>
    <row r="575" spans="1:17" x14ac:dyDescent="0.25">
      <c r="A575" t="s">
        <v>305</v>
      </c>
      <c r="B575" t="s">
        <v>87</v>
      </c>
      <c r="C575" s="4">
        <f t="shared" ref="C575:M575" si="87">(0.0260899569876454 / ( 0.0260899569876454 + 0.0904226503711535 + 0.00131543821211861))*0.0427255796983881%</f>
        <v>9.4604686957338024E-5</v>
      </c>
      <c r="D575" s="4">
        <f t="shared" si="87"/>
        <v>9.4604686957338024E-5</v>
      </c>
      <c r="E575" s="4">
        <f t="shared" si="87"/>
        <v>9.4604686957338024E-5</v>
      </c>
      <c r="F575" s="4">
        <f t="shared" si="87"/>
        <v>9.4604686957338024E-5</v>
      </c>
      <c r="G575" s="4">
        <f t="shared" si="87"/>
        <v>9.4604686957338024E-5</v>
      </c>
      <c r="H575" s="4">
        <f t="shared" si="87"/>
        <v>9.4604686957338024E-5</v>
      </c>
      <c r="I575" s="4">
        <f t="shared" si="87"/>
        <v>9.4604686957338024E-5</v>
      </c>
      <c r="J575" s="4">
        <f t="shared" si="87"/>
        <v>9.4604686957338024E-5</v>
      </c>
      <c r="K575" s="4">
        <f t="shared" si="87"/>
        <v>9.4604686957338024E-5</v>
      </c>
      <c r="L575" s="4">
        <f t="shared" si="87"/>
        <v>9.4604686957338024E-5</v>
      </c>
      <c r="M575" s="4">
        <f t="shared" si="87"/>
        <v>9.4604686957338024E-5</v>
      </c>
      <c r="N575" t="s">
        <v>242</v>
      </c>
      <c r="O575" t="s">
        <v>315</v>
      </c>
      <c r="P575" t="s">
        <v>305</v>
      </c>
      <c r="Q575" t="s">
        <v>245</v>
      </c>
    </row>
    <row r="576" spans="1:17" x14ac:dyDescent="0.25">
      <c r="A576" t="s">
        <v>305</v>
      </c>
      <c r="B576" t="s">
        <v>87</v>
      </c>
      <c r="C576" s="4">
        <f t="shared" ref="C576:M576" si="88">(0.0904226503711535 / ( 0.0260899569876454 + 0.0904226503711535 + 0.00131543821211861))*0.0427255796983881%</f>
        <v>3.2788120487383873E-4</v>
      </c>
      <c r="D576" s="4">
        <f t="shared" si="88"/>
        <v>3.2788120487383873E-4</v>
      </c>
      <c r="E576" s="4">
        <f t="shared" si="88"/>
        <v>3.2788120487383873E-4</v>
      </c>
      <c r="F576" s="4">
        <f t="shared" si="88"/>
        <v>3.2788120487383873E-4</v>
      </c>
      <c r="G576" s="4">
        <f t="shared" si="88"/>
        <v>3.2788120487383873E-4</v>
      </c>
      <c r="H576" s="4">
        <f t="shared" si="88"/>
        <v>3.2788120487383873E-4</v>
      </c>
      <c r="I576" s="4">
        <f t="shared" si="88"/>
        <v>3.2788120487383873E-4</v>
      </c>
      <c r="J576" s="4">
        <f t="shared" si="88"/>
        <v>3.2788120487383873E-4</v>
      </c>
      <c r="K576" s="4">
        <f t="shared" si="88"/>
        <v>3.2788120487383873E-4</v>
      </c>
      <c r="L576" s="4">
        <f t="shared" si="88"/>
        <v>3.2788120487383873E-4</v>
      </c>
      <c r="M576" s="4">
        <f t="shared" si="88"/>
        <v>3.2788120487383873E-4</v>
      </c>
      <c r="N576" t="s">
        <v>242</v>
      </c>
      <c r="O576" t="s">
        <v>316</v>
      </c>
      <c r="P576" t="s">
        <v>305</v>
      </c>
      <c r="Q576" t="s">
        <v>245</v>
      </c>
    </row>
    <row r="577" spans="1:17" x14ac:dyDescent="0.25">
      <c r="A577" t="s">
        <v>305</v>
      </c>
      <c r="B577" t="s">
        <v>87</v>
      </c>
      <c r="C577" s="4">
        <f t="shared" ref="C577:M577" si="89">(0.00131543821211861 / ( 0.0260899569876454 + 0.0904226503711535 + 0.00131543821211861))*0.0427255796983881%</f>
        <v>4.769905152704229E-6</v>
      </c>
      <c r="D577" s="4">
        <f t="shared" si="89"/>
        <v>4.769905152704229E-6</v>
      </c>
      <c r="E577" s="4">
        <f t="shared" si="89"/>
        <v>4.769905152704229E-6</v>
      </c>
      <c r="F577" s="4">
        <f t="shared" si="89"/>
        <v>4.769905152704229E-6</v>
      </c>
      <c r="G577" s="4">
        <f t="shared" si="89"/>
        <v>4.769905152704229E-6</v>
      </c>
      <c r="H577" s="4">
        <f t="shared" si="89"/>
        <v>4.769905152704229E-6</v>
      </c>
      <c r="I577" s="4">
        <f t="shared" si="89"/>
        <v>4.769905152704229E-6</v>
      </c>
      <c r="J577" s="4">
        <f t="shared" si="89"/>
        <v>4.769905152704229E-6</v>
      </c>
      <c r="K577" s="4">
        <f t="shared" si="89"/>
        <v>4.769905152704229E-6</v>
      </c>
      <c r="L577" s="4">
        <f t="shared" si="89"/>
        <v>4.769905152704229E-6</v>
      </c>
      <c r="M577" s="4">
        <f t="shared" si="89"/>
        <v>4.769905152704229E-6</v>
      </c>
      <c r="N577" t="s">
        <v>242</v>
      </c>
      <c r="O577" t="s">
        <v>317</v>
      </c>
      <c r="P577" t="s">
        <v>305</v>
      </c>
      <c r="Q577" t="s">
        <v>245</v>
      </c>
    </row>
    <row r="578" spans="1:17" x14ac:dyDescent="0.25">
      <c r="A578" t="s">
        <v>305</v>
      </c>
      <c r="B578" t="s">
        <v>159</v>
      </c>
      <c r="C578" s="4">
        <v>6.8600138876150546E-2</v>
      </c>
      <c r="D578" s="4">
        <v>6.8600138876150546E-2</v>
      </c>
      <c r="E578" s="4">
        <v>6.8600138876150546E-2</v>
      </c>
      <c r="F578" s="4">
        <v>6.8600138876150546E-2</v>
      </c>
      <c r="G578" s="4">
        <v>6.8600138876150546E-2</v>
      </c>
      <c r="H578" s="4">
        <v>6.8600138876150546E-2</v>
      </c>
      <c r="I578" s="4">
        <v>6.8600138876150546E-2</v>
      </c>
      <c r="J578" s="4">
        <v>6.8600138876150546E-2</v>
      </c>
      <c r="K578" s="4">
        <v>6.8600138876150546E-2</v>
      </c>
      <c r="L578" s="4">
        <v>6.8600138876150546E-2</v>
      </c>
      <c r="M578" s="4">
        <v>6.8600138876150546E-2</v>
      </c>
      <c r="N578" t="s">
        <v>242</v>
      </c>
      <c r="O578" t="s">
        <v>289</v>
      </c>
      <c r="P578" t="s">
        <v>305</v>
      </c>
      <c r="Q578" t="s">
        <v>245</v>
      </c>
    </row>
    <row r="579" spans="1:17" x14ac:dyDescent="0.25">
      <c r="A579" t="s">
        <v>305</v>
      </c>
      <c r="B579" t="s">
        <v>166</v>
      </c>
      <c r="C579" s="4">
        <f t="shared" ref="C579:M579" si="90">(0.0260899569876454 / ( 0.0260899569876454 + 0.0904226503711535 + 0.00131543821211861))*0.00279039881803933%</f>
        <v>6.1786126374476362E-6</v>
      </c>
      <c r="D579" s="4">
        <f t="shared" si="90"/>
        <v>6.1786126374476362E-6</v>
      </c>
      <c r="E579" s="4">
        <f t="shared" si="90"/>
        <v>6.1786126374476362E-6</v>
      </c>
      <c r="F579" s="4">
        <f t="shared" si="90"/>
        <v>6.1786126374476362E-6</v>
      </c>
      <c r="G579" s="4">
        <f t="shared" si="90"/>
        <v>6.1786126374476362E-6</v>
      </c>
      <c r="H579" s="4">
        <f t="shared" si="90"/>
        <v>6.1786126374476362E-6</v>
      </c>
      <c r="I579" s="4">
        <f t="shared" si="90"/>
        <v>6.1786126374476362E-6</v>
      </c>
      <c r="J579" s="4">
        <f t="shared" si="90"/>
        <v>6.1786126374476362E-6</v>
      </c>
      <c r="K579" s="4">
        <f t="shared" si="90"/>
        <v>6.1786126374476362E-6</v>
      </c>
      <c r="L579" s="4">
        <f t="shared" si="90"/>
        <v>6.1786126374476362E-6</v>
      </c>
      <c r="M579" s="4">
        <f t="shared" si="90"/>
        <v>6.1786126374476362E-6</v>
      </c>
      <c r="N579" t="s">
        <v>242</v>
      </c>
      <c r="O579" t="s">
        <v>315</v>
      </c>
      <c r="P579" t="s">
        <v>305</v>
      </c>
      <c r="Q579" t="s">
        <v>245</v>
      </c>
    </row>
    <row r="580" spans="1:17" x14ac:dyDescent="0.25">
      <c r="A580" t="s">
        <v>305</v>
      </c>
      <c r="B580" t="s">
        <v>166</v>
      </c>
      <c r="C580" s="4">
        <f t="shared" ref="C580:M580" si="91">(0.0904226503711535 / ( 0.0260899569876454 + 0.0904226503711535 + 0.00131543821211861))*0.00279039881803933%</f>
        <v>2.1413854018972809E-5</v>
      </c>
      <c r="D580" s="4">
        <f t="shared" si="91"/>
        <v>2.1413854018972809E-5</v>
      </c>
      <c r="E580" s="4">
        <f t="shared" si="91"/>
        <v>2.1413854018972809E-5</v>
      </c>
      <c r="F580" s="4">
        <f t="shared" si="91"/>
        <v>2.1413854018972809E-5</v>
      </c>
      <c r="G580" s="4">
        <f t="shared" si="91"/>
        <v>2.1413854018972809E-5</v>
      </c>
      <c r="H580" s="4">
        <f t="shared" si="91"/>
        <v>2.1413854018972809E-5</v>
      </c>
      <c r="I580" s="4">
        <f t="shared" si="91"/>
        <v>2.1413854018972809E-5</v>
      </c>
      <c r="J580" s="4">
        <f t="shared" si="91"/>
        <v>2.1413854018972809E-5</v>
      </c>
      <c r="K580" s="4">
        <f t="shared" si="91"/>
        <v>2.1413854018972809E-5</v>
      </c>
      <c r="L580" s="4">
        <f t="shared" si="91"/>
        <v>2.1413854018972809E-5</v>
      </c>
      <c r="M580" s="4">
        <f t="shared" si="91"/>
        <v>2.1413854018972809E-5</v>
      </c>
      <c r="N580" t="s">
        <v>242</v>
      </c>
      <c r="O580" t="s">
        <v>316</v>
      </c>
      <c r="P580" t="s">
        <v>305</v>
      </c>
      <c r="Q580" t="s">
        <v>245</v>
      </c>
    </row>
    <row r="581" spans="1:17" x14ac:dyDescent="0.25">
      <c r="A581" t="s">
        <v>305</v>
      </c>
      <c r="B581" t="s">
        <v>166</v>
      </c>
      <c r="C581" s="4">
        <f t="shared" ref="C581:M581" si="92">(0.00131543821211861 / ( 0.0260899569876454 + 0.0904226503711535 + 0.00131543821211861))*0.00279039881803933%</f>
        <v>3.115215239728563E-7</v>
      </c>
      <c r="D581" s="4">
        <f t="shared" si="92"/>
        <v>3.115215239728563E-7</v>
      </c>
      <c r="E581" s="4">
        <f t="shared" si="92"/>
        <v>3.115215239728563E-7</v>
      </c>
      <c r="F581" s="4">
        <f t="shared" si="92"/>
        <v>3.115215239728563E-7</v>
      </c>
      <c r="G581" s="4">
        <f t="shared" si="92"/>
        <v>3.115215239728563E-7</v>
      </c>
      <c r="H581" s="4">
        <f t="shared" si="92"/>
        <v>3.115215239728563E-7</v>
      </c>
      <c r="I581" s="4">
        <f t="shared" si="92"/>
        <v>3.115215239728563E-7</v>
      </c>
      <c r="J581" s="4">
        <f t="shared" si="92"/>
        <v>3.115215239728563E-7</v>
      </c>
      <c r="K581" s="4">
        <f t="shared" si="92"/>
        <v>3.115215239728563E-7</v>
      </c>
      <c r="L581" s="4">
        <f t="shared" si="92"/>
        <v>3.115215239728563E-7</v>
      </c>
      <c r="M581" s="4">
        <f t="shared" si="92"/>
        <v>3.115215239728563E-7</v>
      </c>
      <c r="N581" t="s">
        <v>242</v>
      </c>
      <c r="O581" t="s">
        <v>317</v>
      </c>
      <c r="P581" t="s">
        <v>305</v>
      </c>
      <c r="Q581" t="s">
        <v>245</v>
      </c>
    </row>
    <row r="582" spans="1:17" x14ac:dyDescent="0.25">
      <c r="A582" t="s">
        <v>305</v>
      </c>
      <c r="B582" t="s">
        <v>89</v>
      </c>
      <c r="C582" s="4">
        <f t="shared" ref="C582:M582" si="93">(0.0260899569876454 / ( 0.0260899569876454 + 0.0904226503711535 + 0.00131543821211861))*0.0299987090561942%</f>
        <v>6.6424341095425396E-5</v>
      </c>
      <c r="D582" s="4">
        <f t="shared" si="93"/>
        <v>6.6424341095425396E-5</v>
      </c>
      <c r="E582" s="4">
        <f t="shared" si="93"/>
        <v>6.6424341095425396E-5</v>
      </c>
      <c r="F582" s="4">
        <f t="shared" si="93"/>
        <v>6.6424341095425396E-5</v>
      </c>
      <c r="G582" s="4">
        <f t="shared" si="93"/>
        <v>6.6424341095425396E-5</v>
      </c>
      <c r="H582" s="4">
        <f t="shared" si="93"/>
        <v>6.6424341095425396E-5</v>
      </c>
      <c r="I582" s="4">
        <f t="shared" si="93"/>
        <v>6.6424341095425396E-5</v>
      </c>
      <c r="J582" s="4">
        <f t="shared" si="93"/>
        <v>6.6424341095425396E-5</v>
      </c>
      <c r="K582" s="4">
        <f t="shared" si="93"/>
        <v>6.6424341095425396E-5</v>
      </c>
      <c r="L582" s="4">
        <f t="shared" si="93"/>
        <v>6.6424341095425396E-5</v>
      </c>
      <c r="M582" s="4">
        <f t="shared" si="93"/>
        <v>6.6424341095425396E-5</v>
      </c>
      <c r="N582" t="s">
        <v>242</v>
      </c>
      <c r="O582" t="s">
        <v>315</v>
      </c>
      <c r="P582" t="s">
        <v>305</v>
      </c>
      <c r="Q582" t="s">
        <v>245</v>
      </c>
    </row>
    <row r="583" spans="1:17" x14ac:dyDescent="0.25">
      <c r="A583" t="s">
        <v>305</v>
      </c>
      <c r="B583" t="s">
        <v>89</v>
      </c>
      <c r="C583" s="4">
        <f t="shared" ref="C583:M583" si="94">(0.0904226503711535 / ( 0.0260899569876454 + 0.0904226503711535 + 0.00131543821211861))*0.0299987090561942%</f>
        <v>2.3021367853730425E-4</v>
      </c>
      <c r="D583" s="4">
        <f t="shared" si="94"/>
        <v>2.3021367853730425E-4</v>
      </c>
      <c r="E583" s="4">
        <f t="shared" si="94"/>
        <v>2.3021367853730425E-4</v>
      </c>
      <c r="F583" s="4">
        <f t="shared" si="94"/>
        <v>2.3021367853730425E-4</v>
      </c>
      <c r="G583" s="4">
        <f t="shared" si="94"/>
        <v>2.3021367853730425E-4</v>
      </c>
      <c r="H583" s="4">
        <f t="shared" si="94"/>
        <v>2.3021367853730425E-4</v>
      </c>
      <c r="I583" s="4">
        <f t="shared" si="94"/>
        <v>2.3021367853730425E-4</v>
      </c>
      <c r="J583" s="4">
        <f t="shared" si="94"/>
        <v>2.3021367853730425E-4</v>
      </c>
      <c r="K583" s="4">
        <f t="shared" si="94"/>
        <v>2.3021367853730425E-4</v>
      </c>
      <c r="L583" s="4">
        <f t="shared" si="94"/>
        <v>2.3021367853730425E-4</v>
      </c>
      <c r="M583" s="4">
        <f t="shared" si="94"/>
        <v>2.3021367853730425E-4</v>
      </c>
      <c r="N583" t="s">
        <v>242</v>
      </c>
      <c r="O583" t="s">
        <v>316</v>
      </c>
      <c r="P583" t="s">
        <v>305</v>
      </c>
      <c r="Q583" t="s">
        <v>245</v>
      </c>
    </row>
    <row r="584" spans="1:17" x14ac:dyDescent="0.25">
      <c r="A584" t="s">
        <v>305</v>
      </c>
      <c r="B584" t="s">
        <v>89</v>
      </c>
      <c r="C584" s="4">
        <f t="shared" ref="C584:M584" si="95">(0.00131543821211861 / ( 0.0260899569876454 + 0.0904226503711535 + 0.00131543821211861))*0.0299987090561942%</f>
        <v>3.3490709292123217E-6</v>
      </c>
      <c r="D584" s="4">
        <f t="shared" si="95"/>
        <v>3.3490709292123217E-6</v>
      </c>
      <c r="E584" s="4">
        <f t="shared" si="95"/>
        <v>3.3490709292123217E-6</v>
      </c>
      <c r="F584" s="4">
        <f t="shared" si="95"/>
        <v>3.3490709292123217E-6</v>
      </c>
      <c r="G584" s="4">
        <f t="shared" si="95"/>
        <v>3.3490709292123217E-6</v>
      </c>
      <c r="H584" s="4">
        <f t="shared" si="95"/>
        <v>3.3490709292123217E-6</v>
      </c>
      <c r="I584" s="4">
        <f t="shared" si="95"/>
        <v>3.3490709292123217E-6</v>
      </c>
      <c r="J584" s="4">
        <f t="shared" si="95"/>
        <v>3.3490709292123217E-6</v>
      </c>
      <c r="K584" s="4">
        <f t="shared" si="95"/>
        <v>3.3490709292123217E-6</v>
      </c>
      <c r="L584" s="4">
        <f t="shared" si="95"/>
        <v>3.3490709292123217E-6</v>
      </c>
      <c r="M584" s="4">
        <f t="shared" si="95"/>
        <v>3.3490709292123217E-6</v>
      </c>
      <c r="N584" t="s">
        <v>242</v>
      </c>
      <c r="O584" t="s">
        <v>317</v>
      </c>
      <c r="P584" t="s">
        <v>305</v>
      </c>
      <c r="Q584" t="s">
        <v>245</v>
      </c>
    </row>
    <row r="585" spans="1:17" x14ac:dyDescent="0.25">
      <c r="A585" t="s">
        <v>305</v>
      </c>
      <c r="B585" t="s">
        <v>167</v>
      </c>
      <c r="C585" s="4">
        <f t="shared" ref="C585:M585" si="96">(0.0260899569876454 / ( 0.0260899569876454 + 0.0904226503711535 + 0.00131543821211861))*0.00903900884342149%</f>
        <v>2.0014534807324371E-5</v>
      </c>
      <c r="D585" s="4">
        <f t="shared" si="96"/>
        <v>2.0014534807324371E-5</v>
      </c>
      <c r="E585" s="4">
        <f t="shared" si="96"/>
        <v>2.0014534807324371E-5</v>
      </c>
      <c r="F585" s="4">
        <f t="shared" si="96"/>
        <v>2.0014534807324371E-5</v>
      </c>
      <c r="G585" s="4">
        <f t="shared" si="96"/>
        <v>2.0014534807324371E-5</v>
      </c>
      <c r="H585" s="4">
        <f t="shared" si="96"/>
        <v>2.0014534807324371E-5</v>
      </c>
      <c r="I585" s="4">
        <f t="shared" si="96"/>
        <v>2.0014534807324371E-5</v>
      </c>
      <c r="J585" s="4">
        <f t="shared" si="96"/>
        <v>2.0014534807324371E-5</v>
      </c>
      <c r="K585" s="4">
        <f t="shared" si="96"/>
        <v>2.0014534807324371E-5</v>
      </c>
      <c r="L585" s="4">
        <f t="shared" si="96"/>
        <v>2.0014534807324371E-5</v>
      </c>
      <c r="M585" s="4">
        <f t="shared" si="96"/>
        <v>2.0014534807324371E-5</v>
      </c>
      <c r="N585" t="s">
        <v>242</v>
      </c>
      <c r="O585" t="s">
        <v>315</v>
      </c>
      <c r="P585" t="s">
        <v>305</v>
      </c>
      <c r="Q585" t="s">
        <v>245</v>
      </c>
    </row>
    <row r="586" spans="1:17" x14ac:dyDescent="0.25">
      <c r="A586" t="s">
        <v>305</v>
      </c>
      <c r="B586" t="s">
        <v>167</v>
      </c>
      <c r="C586" s="4">
        <f t="shared" ref="C586:M586" si="97">(0.0904226503711535 / ( 0.0260899569876454 + 0.0904226503711535 + 0.00131543821211861))*0.00903900884342149%</f>
        <v>6.9366434144792503E-5</v>
      </c>
      <c r="D586" s="4">
        <f t="shared" si="97"/>
        <v>6.9366434144792503E-5</v>
      </c>
      <c r="E586" s="4">
        <f t="shared" si="97"/>
        <v>6.9366434144792503E-5</v>
      </c>
      <c r="F586" s="4">
        <f t="shared" si="97"/>
        <v>6.9366434144792503E-5</v>
      </c>
      <c r="G586" s="4">
        <f t="shared" si="97"/>
        <v>6.9366434144792503E-5</v>
      </c>
      <c r="H586" s="4">
        <f t="shared" si="97"/>
        <v>6.9366434144792503E-5</v>
      </c>
      <c r="I586" s="4">
        <f t="shared" si="97"/>
        <v>6.9366434144792503E-5</v>
      </c>
      <c r="J586" s="4">
        <f t="shared" si="97"/>
        <v>6.9366434144792503E-5</v>
      </c>
      <c r="K586" s="4">
        <f t="shared" si="97"/>
        <v>6.9366434144792503E-5</v>
      </c>
      <c r="L586" s="4">
        <f t="shared" si="97"/>
        <v>6.9366434144792503E-5</v>
      </c>
      <c r="M586" s="4">
        <f t="shared" si="97"/>
        <v>6.9366434144792503E-5</v>
      </c>
      <c r="N586" t="s">
        <v>242</v>
      </c>
      <c r="O586" t="s">
        <v>316</v>
      </c>
      <c r="P586" t="s">
        <v>305</v>
      </c>
      <c r="Q586" t="s">
        <v>245</v>
      </c>
    </row>
    <row r="587" spans="1:17" x14ac:dyDescent="0.25">
      <c r="A587" t="s">
        <v>305</v>
      </c>
      <c r="B587" t="s">
        <v>167</v>
      </c>
      <c r="C587" s="4">
        <f t="shared" ref="C587:M587" si="98">(0.00131543821211861 / ( 0.0260899569876454 + 0.0904226503711535 + 0.00131543821211861))*0.00903900884342149%</f>
        <v>1.0091194820980243E-6</v>
      </c>
      <c r="D587" s="4">
        <f t="shared" si="98"/>
        <v>1.0091194820980243E-6</v>
      </c>
      <c r="E587" s="4">
        <f t="shared" si="98"/>
        <v>1.0091194820980243E-6</v>
      </c>
      <c r="F587" s="4">
        <f t="shared" si="98"/>
        <v>1.0091194820980243E-6</v>
      </c>
      <c r="G587" s="4">
        <f t="shared" si="98"/>
        <v>1.0091194820980243E-6</v>
      </c>
      <c r="H587" s="4">
        <f t="shared" si="98"/>
        <v>1.0091194820980243E-6</v>
      </c>
      <c r="I587" s="4">
        <f t="shared" si="98"/>
        <v>1.0091194820980243E-6</v>
      </c>
      <c r="J587" s="4">
        <f t="shared" si="98"/>
        <v>1.0091194820980243E-6</v>
      </c>
      <c r="K587" s="4">
        <f t="shared" si="98"/>
        <v>1.0091194820980243E-6</v>
      </c>
      <c r="L587" s="4">
        <f t="shared" si="98"/>
        <v>1.0091194820980243E-6</v>
      </c>
      <c r="M587" s="4">
        <f t="shared" si="98"/>
        <v>1.0091194820980243E-6</v>
      </c>
      <c r="N587" t="s">
        <v>242</v>
      </c>
      <c r="O587" t="s">
        <v>317</v>
      </c>
      <c r="P587" t="s">
        <v>305</v>
      </c>
      <c r="Q587" t="s">
        <v>245</v>
      </c>
    </row>
    <row r="588" spans="1:17" x14ac:dyDescent="0.25">
      <c r="A588" t="s">
        <v>305</v>
      </c>
      <c r="B588" t="s">
        <v>168</v>
      </c>
      <c r="C588" s="4">
        <f t="shared" ref="C588:M588" si="99">(0.0260899569876454 / ( 0.0260899569876454 + 0.0904226503711535 + 0.00131543821211861))*0.0799039926004465%</f>
        <v>1.7692661538988748E-4</v>
      </c>
      <c r="D588" s="4">
        <f t="shared" si="99"/>
        <v>1.7692661538988748E-4</v>
      </c>
      <c r="E588" s="4">
        <f t="shared" si="99"/>
        <v>1.7692661538988748E-4</v>
      </c>
      <c r="F588" s="4">
        <f t="shared" si="99"/>
        <v>1.7692661538988748E-4</v>
      </c>
      <c r="G588" s="4">
        <f t="shared" si="99"/>
        <v>1.7692661538988748E-4</v>
      </c>
      <c r="H588" s="4">
        <f t="shared" si="99"/>
        <v>1.7692661538988748E-4</v>
      </c>
      <c r="I588" s="4">
        <f t="shared" si="99"/>
        <v>1.7692661538988748E-4</v>
      </c>
      <c r="J588" s="4">
        <f t="shared" si="99"/>
        <v>1.7692661538988748E-4</v>
      </c>
      <c r="K588" s="4">
        <f t="shared" si="99"/>
        <v>1.7692661538988748E-4</v>
      </c>
      <c r="L588" s="4">
        <f t="shared" si="99"/>
        <v>1.7692661538988748E-4</v>
      </c>
      <c r="M588" s="4">
        <f t="shared" si="99"/>
        <v>1.7692661538988748E-4</v>
      </c>
      <c r="N588" t="s">
        <v>242</v>
      </c>
      <c r="O588" t="s">
        <v>315</v>
      </c>
      <c r="P588" t="s">
        <v>305</v>
      </c>
      <c r="Q588" t="s">
        <v>245</v>
      </c>
    </row>
    <row r="589" spans="1:17" x14ac:dyDescent="0.25">
      <c r="A589" t="s">
        <v>305</v>
      </c>
      <c r="B589" t="s">
        <v>168</v>
      </c>
      <c r="C589" s="4">
        <f t="shared" ref="C589:M589" si="100">(0.0904226503711535 / ( 0.0260899569876454 + 0.0904226503711535 + 0.00131543821211861))*0.0799039926004465%</f>
        <v>6.1319278879329276E-4</v>
      </c>
      <c r="D589" s="4">
        <f t="shared" si="100"/>
        <v>6.1319278879329276E-4</v>
      </c>
      <c r="E589" s="4">
        <f t="shared" si="100"/>
        <v>6.1319278879329276E-4</v>
      </c>
      <c r="F589" s="4">
        <f t="shared" si="100"/>
        <v>6.1319278879329276E-4</v>
      </c>
      <c r="G589" s="4">
        <f t="shared" si="100"/>
        <v>6.1319278879329276E-4</v>
      </c>
      <c r="H589" s="4">
        <f t="shared" si="100"/>
        <v>6.1319278879329276E-4</v>
      </c>
      <c r="I589" s="4">
        <f t="shared" si="100"/>
        <v>6.1319278879329276E-4</v>
      </c>
      <c r="J589" s="4">
        <f t="shared" si="100"/>
        <v>6.1319278879329276E-4</v>
      </c>
      <c r="K589" s="4">
        <f t="shared" si="100"/>
        <v>6.1319278879329276E-4</v>
      </c>
      <c r="L589" s="4">
        <f t="shared" si="100"/>
        <v>6.1319278879329276E-4</v>
      </c>
      <c r="M589" s="4">
        <f t="shared" si="100"/>
        <v>6.1319278879329276E-4</v>
      </c>
      <c r="N589" t="s">
        <v>242</v>
      </c>
      <c r="O589" t="s">
        <v>316</v>
      </c>
      <c r="P589" t="s">
        <v>305</v>
      </c>
      <c r="Q589" t="s">
        <v>245</v>
      </c>
    </row>
    <row r="590" spans="1:17" x14ac:dyDescent="0.25">
      <c r="A590" t="s">
        <v>305</v>
      </c>
      <c r="B590" t="s">
        <v>168</v>
      </c>
      <c r="C590" s="4">
        <f t="shared" ref="C590:M590" si="101">(0.00131543821211861 / ( 0.0260899569876454 + 0.0904226503711535 + 0.00131543821211861))*0.0799039926004465%</f>
        <v>8.9205218212847172E-6</v>
      </c>
      <c r="D590" s="4">
        <f t="shared" si="101"/>
        <v>8.9205218212847172E-6</v>
      </c>
      <c r="E590" s="4">
        <f t="shared" si="101"/>
        <v>8.9205218212847172E-6</v>
      </c>
      <c r="F590" s="4">
        <f t="shared" si="101"/>
        <v>8.9205218212847172E-6</v>
      </c>
      <c r="G590" s="4">
        <f t="shared" si="101"/>
        <v>8.9205218212847172E-6</v>
      </c>
      <c r="H590" s="4">
        <f t="shared" si="101"/>
        <v>8.9205218212847172E-6</v>
      </c>
      <c r="I590" s="4">
        <f t="shared" si="101"/>
        <v>8.9205218212847172E-6</v>
      </c>
      <c r="J590" s="4">
        <f t="shared" si="101"/>
        <v>8.9205218212847172E-6</v>
      </c>
      <c r="K590" s="4">
        <f t="shared" si="101"/>
        <v>8.9205218212847172E-6</v>
      </c>
      <c r="L590" s="4">
        <f t="shared" si="101"/>
        <v>8.9205218212847172E-6</v>
      </c>
      <c r="M590" s="4">
        <f t="shared" si="101"/>
        <v>8.9205218212847172E-6</v>
      </c>
      <c r="N590" t="s">
        <v>242</v>
      </c>
      <c r="O590" t="s">
        <v>317</v>
      </c>
      <c r="P590" t="s">
        <v>305</v>
      </c>
      <c r="Q590" t="s">
        <v>245</v>
      </c>
    </row>
    <row r="591" spans="1:17" x14ac:dyDescent="0.25">
      <c r="A591" t="s">
        <v>305</v>
      </c>
      <c r="B591" t="s">
        <v>154</v>
      </c>
      <c r="C591" s="4">
        <f t="shared" ref="C591:M591" si="102">(0.0260899569876454 / ( 0.0260899569876454 + 0.0904226503711535 + 0.00131543821211861))*0.192178148899967%</f>
        <v>4.2552854156845962E-4</v>
      </c>
      <c r="D591" s="4">
        <f t="shared" si="102"/>
        <v>4.2552854156845962E-4</v>
      </c>
      <c r="E591" s="4">
        <f t="shared" si="102"/>
        <v>4.2552854156845962E-4</v>
      </c>
      <c r="F591" s="4">
        <f t="shared" si="102"/>
        <v>4.2552854156845962E-4</v>
      </c>
      <c r="G591" s="4">
        <f t="shared" si="102"/>
        <v>4.2552854156845962E-4</v>
      </c>
      <c r="H591" s="4">
        <f t="shared" si="102"/>
        <v>4.2552854156845962E-4</v>
      </c>
      <c r="I591" s="4">
        <f t="shared" si="102"/>
        <v>4.2552854156845962E-4</v>
      </c>
      <c r="J591" s="4">
        <f t="shared" si="102"/>
        <v>4.2552854156845962E-4</v>
      </c>
      <c r="K591" s="4">
        <f t="shared" si="102"/>
        <v>4.2552854156845962E-4</v>
      </c>
      <c r="L591" s="4">
        <f t="shared" si="102"/>
        <v>4.2552854156845962E-4</v>
      </c>
      <c r="M591" s="4">
        <f t="shared" si="102"/>
        <v>4.2552854156845962E-4</v>
      </c>
      <c r="N591" t="s">
        <v>242</v>
      </c>
      <c r="O591" t="s">
        <v>315</v>
      </c>
      <c r="P591" t="s">
        <v>305</v>
      </c>
      <c r="Q591" t="s">
        <v>245</v>
      </c>
    </row>
    <row r="592" spans="1:17" x14ac:dyDescent="0.25">
      <c r="A592" t="s">
        <v>305</v>
      </c>
      <c r="B592" t="s">
        <v>154</v>
      </c>
      <c r="C592" s="4">
        <f t="shared" ref="C592:M592" si="103">(0.0904226503711535 / ( 0.0260899569876454 + 0.0904226503711535 + 0.00131543821211861))*0.192178148899967%</f>
        <v>1.4747980824733526E-3</v>
      </c>
      <c r="D592" s="4">
        <f t="shared" si="103"/>
        <v>1.4747980824733526E-3</v>
      </c>
      <c r="E592" s="4">
        <f t="shared" si="103"/>
        <v>1.4747980824733526E-3</v>
      </c>
      <c r="F592" s="4">
        <f t="shared" si="103"/>
        <v>1.4747980824733526E-3</v>
      </c>
      <c r="G592" s="4">
        <f t="shared" si="103"/>
        <v>1.4747980824733526E-3</v>
      </c>
      <c r="H592" s="4">
        <f t="shared" si="103"/>
        <v>1.4747980824733526E-3</v>
      </c>
      <c r="I592" s="4">
        <f t="shared" si="103"/>
        <v>1.4747980824733526E-3</v>
      </c>
      <c r="J592" s="4">
        <f t="shared" si="103"/>
        <v>1.4747980824733526E-3</v>
      </c>
      <c r="K592" s="4">
        <f t="shared" si="103"/>
        <v>1.4747980824733526E-3</v>
      </c>
      <c r="L592" s="4">
        <f t="shared" si="103"/>
        <v>1.4747980824733526E-3</v>
      </c>
      <c r="M592" s="4">
        <f t="shared" si="103"/>
        <v>1.4747980824733526E-3</v>
      </c>
      <c r="N592" t="s">
        <v>242</v>
      </c>
      <c r="O592" t="s">
        <v>316</v>
      </c>
      <c r="P592" t="s">
        <v>305</v>
      </c>
      <c r="Q592" t="s">
        <v>245</v>
      </c>
    </row>
    <row r="593" spans="1:17" x14ac:dyDescent="0.25">
      <c r="A593" t="s">
        <v>305</v>
      </c>
      <c r="B593" t="s">
        <v>154</v>
      </c>
      <c r="C593" s="4">
        <f t="shared" ref="C593:M593" si="104">(0.00131543821211861 / ( 0.0260899569876454 + 0.0904226503711535 + 0.00131543821211861))*0.192178148899967%</f>
        <v>2.1454864957857937E-5</v>
      </c>
      <c r="D593" s="4">
        <f t="shared" si="104"/>
        <v>2.1454864957857937E-5</v>
      </c>
      <c r="E593" s="4">
        <f t="shared" si="104"/>
        <v>2.1454864957857937E-5</v>
      </c>
      <c r="F593" s="4">
        <f t="shared" si="104"/>
        <v>2.1454864957857937E-5</v>
      </c>
      <c r="G593" s="4">
        <f t="shared" si="104"/>
        <v>2.1454864957857937E-5</v>
      </c>
      <c r="H593" s="4">
        <f t="shared" si="104"/>
        <v>2.1454864957857937E-5</v>
      </c>
      <c r="I593" s="4">
        <f t="shared" si="104"/>
        <v>2.1454864957857937E-5</v>
      </c>
      <c r="J593" s="4">
        <f t="shared" si="104"/>
        <v>2.1454864957857937E-5</v>
      </c>
      <c r="K593" s="4">
        <f t="shared" si="104"/>
        <v>2.1454864957857937E-5</v>
      </c>
      <c r="L593" s="4">
        <f t="shared" si="104"/>
        <v>2.1454864957857937E-5</v>
      </c>
      <c r="M593" s="4">
        <f t="shared" si="104"/>
        <v>2.1454864957857937E-5</v>
      </c>
      <c r="N593" t="s">
        <v>242</v>
      </c>
      <c r="O593" t="s">
        <v>317</v>
      </c>
      <c r="P593" t="s">
        <v>305</v>
      </c>
      <c r="Q593" t="s">
        <v>245</v>
      </c>
    </row>
    <row r="594" spans="1:17" x14ac:dyDescent="0.25">
      <c r="A594" t="s">
        <v>305</v>
      </c>
      <c r="B594" t="s">
        <v>169</v>
      </c>
      <c r="C594" s="4">
        <f t="shared" ref="C594:M594" si="105">(0.0260899569876454 / ( 0.0260899569876454 + 0.0904226503711535 + 0.00131543821211861))*0.054221561605765%</f>
        <v>1.200595497653351E-4</v>
      </c>
      <c r="D594" s="4">
        <f t="shared" si="105"/>
        <v>1.200595497653351E-4</v>
      </c>
      <c r="E594" s="4">
        <f t="shared" si="105"/>
        <v>1.200595497653351E-4</v>
      </c>
      <c r="F594" s="4">
        <f t="shared" si="105"/>
        <v>1.200595497653351E-4</v>
      </c>
      <c r="G594" s="4">
        <f t="shared" si="105"/>
        <v>1.200595497653351E-4</v>
      </c>
      <c r="H594" s="4">
        <f t="shared" si="105"/>
        <v>1.200595497653351E-4</v>
      </c>
      <c r="I594" s="4">
        <f t="shared" si="105"/>
        <v>1.200595497653351E-4</v>
      </c>
      <c r="J594" s="4">
        <f t="shared" si="105"/>
        <v>1.200595497653351E-4</v>
      </c>
      <c r="K594" s="4">
        <f t="shared" si="105"/>
        <v>1.200595497653351E-4</v>
      </c>
      <c r="L594" s="4">
        <f t="shared" si="105"/>
        <v>1.200595497653351E-4</v>
      </c>
      <c r="M594" s="4">
        <f t="shared" si="105"/>
        <v>1.200595497653351E-4</v>
      </c>
      <c r="N594" t="s">
        <v>242</v>
      </c>
      <c r="O594" t="s">
        <v>315</v>
      </c>
      <c r="P594" t="s">
        <v>305</v>
      </c>
      <c r="Q594" t="s">
        <v>245</v>
      </c>
    </row>
    <row r="595" spans="1:17" x14ac:dyDescent="0.25">
      <c r="A595" t="s">
        <v>305</v>
      </c>
      <c r="B595" t="s">
        <v>169</v>
      </c>
      <c r="C595" s="4">
        <f t="shared" ref="C595:M595" si="106">(0.0904226503711535 / ( 0.0260899569876454 + 0.0904226503711535 + 0.00131543821211861))*0.054221561605765%</f>
        <v>4.1610274395200353E-4</v>
      </c>
      <c r="D595" s="4">
        <f t="shared" si="106"/>
        <v>4.1610274395200353E-4</v>
      </c>
      <c r="E595" s="4">
        <f t="shared" si="106"/>
        <v>4.1610274395200353E-4</v>
      </c>
      <c r="F595" s="4">
        <f t="shared" si="106"/>
        <v>4.1610274395200353E-4</v>
      </c>
      <c r="G595" s="4">
        <f t="shared" si="106"/>
        <v>4.1610274395200353E-4</v>
      </c>
      <c r="H595" s="4">
        <f t="shared" si="106"/>
        <v>4.1610274395200353E-4</v>
      </c>
      <c r="I595" s="4">
        <f t="shared" si="106"/>
        <v>4.1610274395200353E-4</v>
      </c>
      <c r="J595" s="4">
        <f t="shared" si="106"/>
        <v>4.1610274395200353E-4</v>
      </c>
      <c r="K595" s="4">
        <f t="shared" si="106"/>
        <v>4.1610274395200353E-4</v>
      </c>
      <c r="L595" s="4">
        <f t="shared" si="106"/>
        <v>4.1610274395200353E-4</v>
      </c>
      <c r="M595" s="4">
        <f t="shared" si="106"/>
        <v>4.1610274395200353E-4</v>
      </c>
      <c r="N595" t="s">
        <v>242</v>
      </c>
      <c r="O595" t="s">
        <v>316</v>
      </c>
      <c r="P595" t="s">
        <v>305</v>
      </c>
      <c r="Q595" t="s">
        <v>245</v>
      </c>
    </row>
    <row r="596" spans="1:17" x14ac:dyDescent="0.25">
      <c r="A596" t="s">
        <v>305</v>
      </c>
      <c r="B596" t="s">
        <v>169</v>
      </c>
      <c r="C596" s="4">
        <f t="shared" ref="C596:M596" si="107">(0.00131543821211861 / ( 0.0260899569876454 + 0.0904226503711535 + 0.00131543821211861))*0.054221561605765%</f>
        <v>6.0533223403114094E-6</v>
      </c>
      <c r="D596" s="4">
        <f t="shared" si="107"/>
        <v>6.0533223403114094E-6</v>
      </c>
      <c r="E596" s="4">
        <f t="shared" si="107"/>
        <v>6.0533223403114094E-6</v>
      </c>
      <c r="F596" s="4">
        <f t="shared" si="107"/>
        <v>6.0533223403114094E-6</v>
      </c>
      <c r="G596" s="4">
        <f t="shared" si="107"/>
        <v>6.0533223403114094E-6</v>
      </c>
      <c r="H596" s="4">
        <f t="shared" si="107"/>
        <v>6.0533223403114094E-6</v>
      </c>
      <c r="I596" s="4">
        <f t="shared" si="107"/>
        <v>6.0533223403114094E-6</v>
      </c>
      <c r="J596" s="4">
        <f t="shared" si="107"/>
        <v>6.0533223403114094E-6</v>
      </c>
      <c r="K596" s="4">
        <f t="shared" si="107"/>
        <v>6.0533223403114094E-6</v>
      </c>
      <c r="L596" s="4">
        <f t="shared" si="107"/>
        <v>6.0533223403114094E-6</v>
      </c>
      <c r="M596" s="4">
        <f t="shared" si="107"/>
        <v>6.0533223403114094E-6</v>
      </c>
      <c r="N596" t="s">
        <v>242</v>
      </c>
      <c r="O596" t="s">
        <v>317</v>
      </c>
      <c r="P596" t="s">
        <v>305</v>
      </c>
      <c r="Q596" t="s">
        <v>245</v>
      </c>
    </row>
    <row r="597" spans="1:17" x14ac:dyDescent="0.25">
      <c r="A597" t="s">
        <v>305</v>
      </c>
      <c r="B597" t="s">
        <v>97</v>
      </c>
      <c r="C597" s="4">
        <f t="shared" ref="C597:M597" si="108">(0.0260899569876454 / ( 0.0260899569876454 + 0.0904226503711535 + 0.00131543821211861))*0.135943541314934%</f>
        <v>3.010116249038625E-4</v>
      </c>
      <c r="D597" s="4">
        <f t="shared" si="108"/>
        <v>3.010116249038625E-4</v>
      </c>
      <c r="E597" s="4">
        <f t="shared" si="108"/>
        <v>3.010116249038625E-4</v>
      </c>
      <c r="F597" s="4">
        <f t="shared" si="108"/>
        <v>3.010116249038625E-4</v>
      </c>
      <c r="G597" s="4">
        <f t="shared" si="108"/>
        <v>3.010116249038625E-4</v>
      </c>
      <c r="H597" s="4">
        <f t="shared" si="108"/>
        <v>3.010116249038625E-4</v>
      </c>
      <c r="I597" s="4">
        <f t="shared" si="108"/>
        <v>3.010116249038625E-4</v>
      </c>
      <c r="J597" s="4">
        <f t="shared" si="108"/>
        <v>3.010116249038625E-4</v>
      </c>
      <c r="K597" s="4">
        <f t="shared" si="108"/>
        <v>3.010116249038625E-4</v>
      </c>
      <c r="L597" s="4">
        <f t="shared" si="108"/>
        <v>3.010116249038625E-4</v>
      </c>
      <c r="M597" s="4">
        <f t="shared" si="108"/>
        <v>3.010116249038625E-4</v>
      </c>
      <c r="N597" t="s">
        <v>242</v>
      </c>
      <c r="O597" t="s">
        <v>315</v>
      </c>
      <c r="P597" t="s">
        <v>305</v>
      </c>
      <c r="Q597" t="s">
        <v>245</v>
      </c>
    </row>
    <row r="598" spans="1:17" x14ac:dyDescent="0.25">
      <c r="A598" t="s">
        <v>305</v>
      </c>
      <c r="B598" t="s">
        <v>97</v>
      </c>
      <c r="C598" s="4">
        <f t="shared" ref="C598:M598" si="109">(0.0904226503711535 / ( 0.0260899569876454 + 0.0904226503711535 + 0.00131543821211861))*0.135943541314934%</f>
        <v>1.04324698309099E-3</v>
      </c>
      <c r="D598" s="4">
        <f t="shared" si="109"/>
        <v>1.04324698309099E-3</v>
      </c>
      <c r="E598" s="4">
        <f t="shared" si="109"/>
        <v>1.04324698309099E-3</v>
      </c>
      <c r="F598" s="4">
        <f t="shared" si="109"/>
        <v>1.04324698309099E-3</v>
      </c>
      <c r="G598" s="4">
        <f t="shared" si="109"/>
        <v>1.04324698309099E-3</v>
      </c>
      <c r="H598" s="4">
        <f t="shared" si="109"/>
        <v>1.04324698309099E-3</v>
      </c>
      <c r="I598" s="4">
        <f t="shared" si="109"/>
        <v>1.04324698309099E-3</v>
      </c>
      <c r="J598" s="4">
        <f t="shared" si="109"/>
        <v>1.04324698309099E-3</v>
      </c>
      <c r="K598" s="4">
        <f t="shared" si="109"/>
        <v>1.04324698309099E-3</v>
      </c>
      <c r="L598" s="4">
        <f t="shared" si="109"/>
        <v>1.04324698309099E-3</v>
      </c>
      <c r="M598" s="4">
        <f t="shared" si="109"/>
        <v>1.04324698309099E-3</v>
      </c>
      <c r="N598" t="s">
        <v>242</v>
      </c>
      <c r="O598" t="s">
        <v>316</v>
      </c>
      <c r="P598" t="s">
        <v>305</v>
      </c>
      <c r="Q598" t="s">
        <v>245</v>
      </c>
    </row>
    <row r="599" spans="1:17" x14ac:dyDescent="0.25">
      <c r="A599" t="s">
        <v>305</v>
      </c>
      <c r="B599" t="s">
        <v>97</v>
      </c>
      <c r="C599" s="4">
        <f t="shared" ref="C599:M599" si="110">(0.00131543821211861 / ( 0.0260899569876454 + 0.0904226503711535 + 0.00131543821211861))*0.135943541314934%</f>
        <v>1.5176805154487522E-5</v>
      </c>
      <c r="D599" s="4">
        <f t="shared" si="110"/>
        <v>1.5176805154487522E-5</v>
      </c>
      <c r="E599" s="4">
        <f t="shared" si="110"/>
        <v>1.5176805154487522E-5</v>
      </c>
      <c r="F599" s="4">
        <f t="shared" si="110"/>
        <v>1.5176805154487522E-5</v>
      </c>
      <c r="G599" s="4">
        <f t="shared" si="110"/>
        <v>1.5176805154487522E-5</v>
      </c>
      <c r="H599" s="4">
        <f t="shared" si="110"/>
        <v>1.5176805154487522E-5</v>
      </c>
      <c r="I599" s="4">
        <f t="shared" si="110"/>
        <v>1.5176805154487522E-5</v>
      </c>
      <c r="J599" s="4">
        <f t="shared" si="110"/>
        <v>1.5176805154487522E-5</v>
      </c>
      <c r="K599" s="4">
        <f t="shared" si="110"/>
        <v>1.5176805154487522E-5</v>
      </c>
      <c r="L599" s="4">
        <f t="shared" si="110"/>
        <v>1.5176805154487522E-5</v>
      </c>
      <c r="M599" s="4">
        <f t="shared" si="110"/>
        <v>1.5176805154487522E-5</v>
      </c>
      <c r="N599" t="s">
        <v>242</v>
      </c>
      <c r="O599" t="s">
        <v>317</v>
      </c>
      <c r="P599" t="s">
        <v>305</v>
      </c>
      <c r="Q599" t="s">
        <v>245</v>
      </c>
    </row>
    <row r="600" spans="1:17" x14ac:dyDescent="0.25">
      <c r="A600" t="s">
        <v>305</v>
      </c>
      <c r="B600" t="s">
        <v>98</v>
      </c>
      <c r="C600" s="4">
        <v>2.792480086579234E-2</v>
      </c>
      <c r="D600" s="4">
        <v>2.792480086579234E-2</v>
      </c>
      <c r="E600" s="4">
        <v>2.792480086579234E-2</v>
      </c>
      <c r="F600" s="4">
        <v>2.792480086579234E-2</v>
      </c>
      <c r="G600" s="4">
        <v>2.792480086579234E-2</v>
      </c>
      <c r="H600" s="4">
        <v>2.792480086579234E-2</v>
      </c>
      <c r="I600" s="4">
        <v>2.792480086579234E-2</v>
      </c>
      <c r="J600" s="4">
        <v>2.792480086579234E-2</v>
      </c>
      <c r="K600" s="4">
        <v>2.792480086579234E-2</v>
      </c>
      <c r="L600" s="4">
        <v>2.792480086579234E-2</v>
      </c>
      <c r="M600" s="4">
        <v>2.792480086579234E-2</v>
      </c>
      <c r="N600" t="s">
        <v>287</v>
      </c>
      <c r="O600" t="s">
        <v>306</v>
      </c>
      <c r="P600" t="s">
        <v>305</v>
      </c>
      <c r="Q600" t="s">
        <v>245</v>
      </c>
    </row>
    <row r="601" spans="1:17" x14ac:dyDescent="0.25">
      <c r="A601" t="s">
        <v>305</v>
      </c>
      <c r="B601" t="s">
        <v>99</v>
      </c>
      <c r="C601" s="4">
        <f t="shared" ref="C601:M601" si="111">(0.0260899569876454 / ( 0.0260899569876454 + 0.0904226503711535 + 0.00131543821211861))*1.48611894295965%</f>
        <v>3.2906239862059011E-3</v>
      </c>
      <c r="D601" s="4">
        <f t="shared" si="111"/>
        <v>3.2906239862059011E-3</v>
      </c>
      <c r="E601" s="4">
        <f t="shared" si="111"/>
        <v>3.2906239862059011E-3</v>
      </c>
      <c r="F601" s="4">
        <f t="shared" si="111"/>
        <v>3.2906239862059011E-3</v>
      </c>
      <c r="G601" s="4">
        <f t="shared" si="111"/>
        <v>3.2906239862059011E-3</v>
      </c>
      <c r="H601" s="4">
        <f t="shared" si="111"/>
        <v>3.2906239862059011E-3</v>
      </c>
      <c r="I601" s="4">
        <f t="shared" si="111"/>
        <v>3.2906239862059011E-3</v>
      </c>
      <c r="J601" s="4">
        <f t="shared" si="111"/>
        <v>3.2906239862059011E-3</v>
      </c>
      <c r="K601" s="4">
        <f t="shared" si="111"/>
        <v>3.2906239862059011E-3</v>
      </c>
      <c r="L601" s="4">
        <f t="shared" si="111"/>
        <v>3.2906239862059011E-3</v>
      </c>
      <c r="M601" s="4">
        <f t="shared" si="111"/>
        <v>3.2906239862059011E-3</v>
      </c>
      <c r="N601" t="s">
        <v>242</v>
      </c>
      <c r="O601" t="s">
        <v>315</v>
      </c>
      <c r="P601" t="s">
        <v>305</v>
      </c>
      <c r="Q601" t="s">
        <v>245</v>
      </c>
    </row>
    <row r="602" spans="1:17" x14ac:dyDescent="0.25">
      <c r="A602" t="s">
        <v>305</v>
      </c>
      <c r="B602" t="s">
        <v>99</v>
      </c>
      <c r="C602" s="4">
        <f t="shared" ref="C602:M602" si="112">(0.0904226503711535 / ( 0.0260899569876454 + 0.0904226503711535 + 0.00131543821211861))*1.48611894295965%</f>
        <v>1.1404654379021306E-2</v>
      </c>
      <c r="D602" s="4">
        <f t="shared" si="112"/>
        <v>1.1404654379021306E-2</v>
      </c>
      <c r="E602" s="4">
        <f t="shared" si="112"/>
        <v>1.1404654379021306E-2</v>
      </c>
      <c r="F602" s="4">
        <f t="shared" si="112"/>
        <v>1.1404654379021306E-2</v>
      </c>
      <c r="G602" s="4">
        <f t="shared" si="112"/>
        <v>1.1404654379021306E-2</v>
      </c>
      <c r="H602" s="4">
        <f t="shared" si="112"/>
        <v>1.1404654379021306E-2</v>
      </c>
      <c r="I602" s="4">
        <f t="shared" si="112"/>
        <v>1.1404654379021306E-2</v>
      </c>
      <c r="J602" s="4">
        <f t="shared" si="112"/>
        <v>1.1404654379021306E-2</v>
      </c>
      <c r="K602" s="4">
        <f t="shared" si="112"/>
        <v>1.1404654379021306E-2</v>
      </c>
      <c r="L602" s="4">
        <f t="shared" si="112"/>
        <v>1.1404654379021306E-2</v>
      </c>
      <c r="M602" s="4">
        <f t="shared" si="112"/>
        <v>1.1404654379021306E-2</v>
      </c>
      <c r="N602" t="s">
        <v>242</v>
      </c>
      <c r="O602" t="s">
        <v>316</v>
      </c>
      <c r="P602" t="s">
        <v>305</v>
      </c>
      <c r="Q602" t="s">
        <v>245</v>
      </c>
    </row>
    <row r="603" spans="1:17" x14ac:dyDescent="0.25">
      <c r="A603" t="s">
        <v>305</v>
      </c>
      <c r="B603" t="s">
        <v>99</v>
      </c>
      <c r="C603" s="4">
        <f t="shared" ref="C603:M603" si="113">(0.00131543821211861 / ( 0.0260899569876454 + 0.0904226503711535 + 0.00131543821211861))*1.48611894295965%</f>
        <v>1.6591106436929232E-4</v>
      </c>
      <c r="D603" s="4">
        <f t="shared" si="113"/>
        <v>1.6591106436929232E-4</v>
      </c>
      <c r="E603" s="4">
        <f t="shared" si="113"/>
        <v>1.6591106436929232E-4</v>
      </c>
      <c r="F603" s="4">
        <f t="shared" si="113"/>
        <v>1.6591106436929232E-4</v>
      </c>
      <c r="G603" s="4">
        <f t="shared" si="113"/>
        <v>1.6591106436929232E-4</v>
      </c>
      <c r="H603" s="4">
        <f t="shared" si="113"/>
        <v>1.6591106436929232E-4</v>
      </c>
      <c r="I603" s="4">
        <f t="shared" si="113"/>
        <v>1.6591106436929232E-4</v>
      </c>
      <c r="J603" s="4">
        <f t="shared" si="113"/>
        <v>1.6591106436929232E-4</v>
      </c>
      <c r="K603" s="4">
        <f t="shared" si="113"/>
        <v>1.6591106436929232E-4</v>
      </c>
      <c r="L603" s="4">
        <f t="shared" si="113"/>
        <v>1.6591106436929232E-4</v>
      </c>
      <c r="M603" s="4">
        <f t="shared" si="113"/>
        <v>1.6591106436929232E-4</v>
      </c>
      <c r="N603" t="s">
        <v>242</v>
      </c>
      <c r="O603" t="s">
        <v>317</v>
      </c>
      <c r="P603" t="s">
        <v>305</v>
      </c>
      <c r="Q603" t="s">
        <v>245</v>
      </c>
    </row>
    <row r="604" spans="1:17" x14ac:dyDescent="0.25">
      <c r="A604" t="s">
        <v>305</v>
      </c>
      <c r="B604" t="s">
        <v>102</v>
      </c>
      <c r="C604" s="4">
        <v>2.708820009619381E-2</v>
      </c>
      <c r="D604" s="4">
        <v>2.708820009619381E-2</v>
      </c>
      <c r="E604" s="4">
        <v>2.708820009619381E-2</v>
      </c>
      <c r="F604" s="4">
        <v>2.708820009619381E-2</v>
      </c>
      <c r="G604" s="4">
        <v>2.708820009619381E-2</v>
      </c>
      <c r="H604" s="4">
        <v>2.708820009619381E-2</v>
      </c>
      <c r="I604" s="4">
        <v>2.708820009619381E-2</v>
      </c>
      <c r="J604" s="4">
        <v>2.708820009619381E-2</v>
      </c>
      <c r="K604" s="4">
        <v>2.708820009619381E-2</v>
      </c>
      <c r="L604" s="4">
        <v>2.708820009619381E-2</v>
      </c>
      <c r="M604" s="4">
        <v>2.708820009619381E-2</v>
      </c>
      <c r="N604" t="s">
        <v>286</v>
      </c>
      <c r="O604" t="s">
        <v>306</v>
      </c>
      <c r="P604" t="s">
        <v>305</v>
      </c>
      <c r="Q604" t="s">
        <v>245</v>
      </c>
    </row>
    <row r="605" spans="1:17" x14ac:dyDescent="0.25">
      <c r="A605" t="s">
        <v>305</v>
      </c>
      <c r="B605" t="s">
        <v>149</v>
      </c>
      <c r="C605" s="4">
        <f t="shared" ref="C605:M605" si="114">(0.0260899569876454 / ( 0.0260899569876454 + 0.0904226503711535 + 0.00131543821211861))*0.00941663512974706%</f>
        <v>2.0850690029954164E-5</v>
      </c>
      <c r="D605" s="4">
        <f t="shared" si="114"/>
        <v>2.0850690029954164E-5</v>
      </c>
      <c r="E605" s="4">
        <f t="shared" si="114"/>
        <v>2.0850690029954164E-5</v>
      </c>
      <c r="F605" s="4">
        <f t="shared" si="114"/>
        <v>2.0850690029954164E-5</v>
      </c>
      <c r="G605" s="4">
        <f t="shared" si="114"/>
        <v>2.0850690029954164E-5</v>
      </c>
      <c r="H605" s="4">
        <f t="shared" si="114"/>
        <v>2.0850690029954164E-5</v>
      </c>
      <c r="I605" s="4">
        <f t="shared" si="114"/>
        <v>2.0850690029954164E-5</v>
      </c>
      <c r="J605" s="4">
        <f t="shared" si="114"/>
        <v>2.0850690029954164E-5</v>
      </c>
      <c r="K605" s="4">
        <f t="shared" si="114"/>
        <v>2.0850690029954164E-5</v>
      </c>
      <c r="L605" s="4">
        <f t="shared" si="114"/>
        <v>2.0850690029954164E-5</v>
      </c>
      <c r="M605" s="4">
        <f t="shared" si="114"/>
        <v>2.0850690029954164E-5</v>
      </c>
      <c r="N605" t="s">
        <v>242</v>
      </c>
      <c r="O605" t="s">
        <v>315</v>
      </c>
      <c r="P605" t="s">
        <v>305</v>
      </c>
      <c r="Q605" t="s">
        <v>245</v>
      </c>
    </row>
    <row r="606" spans="1:17" x14ac:dyDescent="0.25">
      <c r="A606" t="s">
        <v>305</v>
      </c>
      <c r="B606" t="s">
        <v>149</v>
      </c>
      <c r="C606" s="4">
        <f t="shared" ref="C606:M606" si="115">(0.0904226503711535 / ( 0.0260899569876454 + 0.0904226503711535 + 0.00131543821211861))*0.00941663512974706%</f>
        <v>7.2264383397360095E-5</v>
      </c>
      <c r="D606" s="4">
        <f t="shared" si="115"/>
        <v>7.2264383397360095E-5</v>
      </c>
      <c r="E606" s="4">
        <f t="shared" si="115"/>
        <v>7.2264383397360095E-5</v>
      </c>
      <c r="F606" s="4">
        <f t="shared" si="115"/>
        <v>7.2264383397360095E-5</v>
      </c>
      <c r="G606" s="4">
        <f t="shared" si="115"/>
        <v>7.2264383397360095E-5</v>
      </c>
      <c r="H606" s="4">
        <f t="shared" si="115"/>
        <v>7.2264383397360095E-5</v>
      </c>
      <c r="I606" s="4">
        <f t="shared" si="115"/>
        <v>7.2264383397360095E-5</v>
      </c>
      <c r="J606" s="4">
        <f t="shared" si="115"/>
        <v>7.2264383397360095E-5</v>
      </c>
      <c r="K606" s="4">
        <f t="shared" si="115"/>
        <v>7.2264383397360095E-5</v>
      </c>
      <c r="L606" s="4">
        <f t="shared" si="115"/>
        <v>7.2264383397360095E-5</v>
      </c>
      <c r="M606" s="4">
        <f t="shared" si="115"/>
        <v>7.2264383397360095E-5</v>
      </c>
      <c r="N606" t="s">
        <v>242</v>
      </c>
      <c r="O606" t="s">
        <v>316</v>
      </c>
      <c r="P606" t="s">
        <v>305</v>
      </c>
      <c r="Q606" t="s">
        <v>245</v>
      </c>
    </row>
    <row r="607" spans="1:17" x14ac:dyDescent="0.25">
      <c r="A607" t="s">
        <v>305</v>
      </c>
      <c r="B607" t="s">
        <v>149</v>
      </c>
      <c r="C607" s="4">
        <f t="shared" ref="C607:M607" si="116">(0.00131543821211861 / ( 0.0260899569876454 + 0.0904226503711535 + 0.00131543821211861))*0.00941663512974706%</f>
        <v>1.0512778701563343E-6</v>
      </c>
      <c r="D607" s="4">
        <f t="shared" si="116"/>
        <v>1.0512778701563343E-6</v>
      </c>
      <c r="E607" s="4">
        <f t="shared" si="116"/>
        <v>1.0512778701563343E-6</v>
      </c>
      <c r="F607" s="4">
        <f t="shared" si="116"/>
        <v>1.0512778701563343E-6</v>
      </c>
      <c r="G607" s="4">
        <f t="shared" si="116"/>
        <v>1.0512778701563343E-6</v>
      </c>
      <c r="H607" s="4">
        <f t="shared" si="116"/>
        <v>1.0512778701563343E-6</v>
      </c>
      <c r="I607" s="4">
        <f t="shared" si="116"/>
        <v>1.0512778701563343E-6</v>
      </c>
      <c r="J607" s="4">
        <f t="shared" si="116"/>
        <v>1.0512778701563343E-6</v>
      </c>
      <c r="K607" s="4">
        <f t="shared" si="116"/>
        <v>1.0512778701563343E-6</v>
      </c>
      <c r="L607" s="4">
        <f t="shared" si="116"/>
        <v>1.0512778701563343E-6</v>
      </c>
      <c r="M607" s="4">
        <f t="shared" si="116"/>
        <v>1.0512778701563343E-6</v>
      </c>
      <c r="N607" t="s">
        <v>242</v>
      </c>
      <c r="O607" t="s">
        <v>317</v>
      </c>
      <c r="P607" t="s">
        <v>305</v>
      </c>
      <c r="Q607" t="s">
        <v>245</v>
      </c>
    </row>
    <row r="608" spans="1:17" x14ac:dyDescent="0.25">
      <c r="A608" t="s">
        <v>305</v>
      </c>
      <c r="B608" t="s">
        <v>170</v>
      </c>
      <c r="C608" s="4">
        <f t="shared" ref="C608:M608" si="117">(0.0260899569876454 / ( 0.0260899569876454 + 0.0904226503711535 + 0.00131543821211861))*0.0320934299319951%</f>
        <v>7.106255581637443E-5</v>
      </c>
      <c r="D608" s="4">
        <f t="shared" si="117"/>
        <v>7.106255581637443E-5</v>
      </c>
      <c r="E608" s="4">
        <f t="shared" si="117"/>
        <v>7.106255581637443E-5</v>
      </c>
      <c r="F608" s="4">
        <f t="shared" si="117"/>
        <v>7.106255581637443E-5</v>
      </c>
      <c r="G608" s="4">
        <f t="shared" si="117"/>
        <v>7.106255581637443E-5</v>
      </c>
      <c r="H608" s="4">
        <f t="shared" si="117"/>
        <v>7.106255581637443E-5</v>
      </c>
      <c r="I608" s="4">
        <f t="shared" si="117"/>
        <v>7.106255581637443E-5</v>
      </c>
      <c r="J608" s="4">
        <f t="shared" si="117"/>
        <v>7.106255581637443E-5</v>
      </c>
      <c r="K608" s="4">
        <f t="shared" si="117"/>
        <v>7.106255581637443E-5</v>
      </c>
      <c r="L608" s="4">
        <f t="shared" si="117"/>
        <v>7.106255581637443E-5</v>
      </c>
      <c r="M608" s="4">
        <f t="shared" si="117"/>
        <v>7.106255581637443E-5</v>
      </c>
      <c r="N608" t="s">
        <v>242</v>
      </c>
      <c r="O608" t="s">
        <v>315</v>
      </c>
      <c r="P608" t="s">
        <v>305</v>
      </c>
      <c r="Q608" t="s">
        <v>245</v>
      </c>
    </row>
    <row r="609" spans="1:17" x14ac:dyDescent="0.25">
      <c r="A609" t="s">
        <v>305</v>
      </c>
      <c r="B609" t="s">
        <v>170</v>
      </c>
      <c r="C609" s="4">
        <f t="shared" ref="C609:M609" si="118">(0.0904226503711535 / ( 0.0260899569876454 + 0.0904226503711535 + 0.00131543821211861))*0.0320934299319951%</f>
        <v>2.4628881688488043E-4</v>
      </c>
      <c r="D609" s="4">
        <f t="shared" si="118"/>
        <v>2.4628881688488043E-4</v>
      </c>
      <c r="E609" s="4">
        <f t="shared" si="118"/>
        <v>2.4628881688488043E-4</v>
      </c>
      <c r="F609" s="4">
        <f t="shared" si="118"/>
        <v>2.4628881688488043E-4</v>
      </c>
      <c r="G609" s="4">
        <f t="shared" si="118"/>
        <v>2.4628881688488043E-4</v>
      </c>
      <c r="H609" s="4">
        <f t="shared" si="118"/>
        <v>2.4628881688488043E-4</v>
      </c>
      <c r="I609" s="4">
        <f t="shared" si="118"/>
        <v>2.4628881688488043E-4</v>
      </c>
      <c r="J609" s="4">
        <f t="shared" si="118"/>
        <v>2.4628881688488043E-4</v>
      </c>
      <c r="K609" s="4">
        <f t="shared" si="118"/>
        <v>2.4628881688488043E-4</v>
      </c>
      <c r="L609" s="4">
        <f t="shared" si="118"/>
        <v>2.4628881688488043E-4</v>
      </c>
      <c r="M609" s="4">
        <f t="shared" si="118"/>
        <v>2.4628881688488043E-4</v>
      </c>
      <c r="N609" t="s">
        <v>242</v>
      </c>
      <c r="O609" t="s">
        <v>316</v>
      </c>
      <c r="P609" t="s">
        <v>305</v>
      </c>
      <c r="Q609" t="s">
        <v>245</v>
      </c>
    </row>
    <row r="610" spans="1:17" x14ac:dyDescent="0.25">
      <c r="A610" t="s">
        <v>305</v>
      </c>
      <c r="B610" t="s">
        <v>170</v>
      </c>
      <c r="C610" s="4">
        <f t="shared" ref="C610:M610" si="119">(0.00131543821211861 / ( 0.0260899569876454 + 0.0904226503711535 + 0.00131543821211861))*0.0320934299319951%</f>
        <v>3.5829266186960801E-6</v>
      </c>
      <c r="D610" s="4">
        <f t="shared" si="119"/>
        <v>3.5829266186960801E-6</v>
      </c>
      <c r="E610" s="4">
        <f t="shared" si="119"/>
        <v>3.5829266186960801E-6</v>
      </c>
      <c r="F610" s="4">
        <f t="shared" si="119"/>
        <v>3.5829266186960801E-6</v>
      </c>
      <c r="G610" s="4">
        <f t="shared" si="119"/>
        <v>3.5829266186960801E-6</v>
      </c>
      <c r="H610" s="4">
        <f t="shared" si="119"/>
        <v>3.5829266186960801E-6</v>
      </c>
      <c r="I610" s="4">
        <f t="shared" si="119"/>
        <v>3.5829266186960801E-6</v>
      </c>
      <c r="J610" s="4">
        <f t="shared" si="119"/>
        <v>3.5829266186960801E-6</v>
      </c>
      <c r="K610" s="4">
        <f t="shared" si="119"/>
        <v>3.5829266186960801E-6</v>
      </c>
      <c r="L610" s="4">
        <f t="shared" si="119"/>
        <v>3.5829266186960801E-6</v>
      </c>
      <c r="M610" s="4">
        <f t="shared" si="119"/>
        <v>3.5829266186960801E-6</v>
      </c>
      <c r="N610" t="s">
        <v>242</v>
      </c>
      <c r="O610" t="s">
        <v>317</v>
      </c>
      <c r="P610" t="s">
        <v>305</v>
      </c>
      <c r="Q610" t="s">
        <v>245</v>
      </c>
    </row>
    <row r="611" spans="1:17" x14ac:dyDescent="0.25">
      <c r="A611" t="s">
        <v>305</v>
      </c>
      <c r="B611" t="s">
        <v>171</v>
      </c>
      <c r="C611" s="4">
        <f t="shared" ref="C611:M611" si="120">(0.0260899569876454 / ( 0.0260899569876454 + 0.0904226503711535 + 0.00131543821211861))*0.866560082528159%</f>
        <v>1.918771984277942E-3</v>
      </c>
      <c r="D611" s="4">
        <f t="shared" si="120"/>
        <v>1.918771984277942E-3</v>
      </c>
      <c r="E611" s="4">
        <f t="shared" si="120"/>
        <v>1.918771984277942E-3</v>
      </c>
      <c r="F611" s="4">
        <f t="shared" si="120"/>
        <v>1.918771984277942E-3</v>
      </c>
      <c r="G611" s="4">
        <f t="shared" si="120"/>
        <v>1.918771984277942E-3</v>
      </c>
      <c r="H611" s="4">
        <f t="shared" si="120"/>
        <v>1.918771984277942E-3</v>
      </c>
      <c r="I611" s="4">
        <f t="shared" si="120"/>
        <v>1.918771984277942E-3</v>
      </c>
      <c r="J611" s="4">
        <f t="shared" si="120"/>
        <v>1.918771984277942E-3</v>
      </c>
      <c r="K611" s="4">
        <f t="shared" si="120"/>
        <v>1.918771984277942E-3</v>
      </c>
      <c r="L611" s="4">
        <f t="shared" si="120"/>
        <v>1.918771984277942E-3</v>
      </c>
      <c r="M611" s="4">
        <f t="shared" si="120"/>
        <v>1.918771984277942E-3</v>
      </c>
      <c r="N611" t="s">
        <v>242</v>
      </c>
      <c r="O611" t="s">
        <v>315</v>
      </c>
      <c r="P611" t="s">
        <v>305</v>
      </c>
      <c r="Q611" t="s">
        <v>245</v>
      </c>
    </row>
    <row r="612" spans="1:17" x14ac:dyDescent="0.25">
      <c r="A612" t="s">
        <v>305</v>
      </c>
      <c r="B612" t="s">
        <v>171</v>
      </c>
      <c r="C612" s="4">
        <f t="shared" ref="C612:M612" si="121">(0.0904226503711535 / ( 0.0260899569876454 + 0.0904226503711535 + 0.00131543821211861))*0.866560082528159%</f>
        <v>6.6500856386420238E-3</v>
      </c>
      <c r="D612" s="4">
        <f t="shared" si="121"/>
        <v>6.6500856386420238E-3</v>
      </c>
      <c r="E612" s="4">
        <f t="shared" si="121"/>
        <v>6.6500856386420238E-3</v>
      </c>
      <c r="F612" s="4">
        <f t="shared" si="121"/>
        <v>6.6500856386420238E-3</v>
      </c>
      <c r="G612" s="4">
        <f t="shared" si="121"/>
        <v>6.6500856386420238E-3</v>
      </c>
      <c r="H612" s="4">
        <f t="shared" si="121"/>
        <v>6.6500856386420238E-3</v>
      </c>
      <c r="I612" s="4">
        <f t="shared" si="121"/>
        <v>6.6500856386420238E-3</v>
      </c>
      <c r="J612" s="4">
        <f t="shared" si="121"/>
        <v>6.6500856386420238E-3</v>
      </c>
      <c r="K612" s="4">
        <f t="shared" si="121"/>
        <v>6.6500856386420238E-3</v>
      </c>
      <c r="L612" s="4">
        <f t="shared" si="121"/>
        <v>6.6500856386420238E-3</v>
      </c>
      <c r="M612" s="4">
        <f t="shared" si="121"/>
        <v>6.6500856386420238E-3</v>
      </c>
      <c r="N612" t="s">
        <v>242</v>
      </c>
      <c r="O612" t="s">
        <v>316</v>
      </c>
      <c r="P612" t="s">
        <v>305</v>
      </c>
      <c r="Q612" t="s">
        <v>245</v>
      </c>
    </row>
    <row r="613" spans="1:17" x14ac:dyDescent="0.25">
      <c r="A613" t="s">
        <v>305</v>
      </c>
      <c r="B613" t="s">
        <v>171</v>
      </c>
      <c r="C613" s="4">
        <f t="shared" ref="C613:M613" si="122">(0.00131543821211861 / ( 0.0260899569876454 + 0.0904226503711535 + 0.00131543821211861))*0.866560082528159%</f>
        <v>9.674320236162433E-5</v>
      </c>
      <c r="D613" s="4">
        <f t="shared" si="122"/>
        <v>9.674320236162433E-5</v>
      </c>
      <c r="E613" s="4">
        <f t="shared" si="122"/>
        <v>9.674320236162433E-5</v>
      </c>
      <c r="F613" s="4">
        <f t="shared" si="122"/>
        <v>9.674320236162433E-5</v>
      </c>
      <c r="G613" s="4">
        <f t="shared" si="122"/>
        <v>9.674320236162433E-5</v>
      </c>
      <c r="H613" s="4">
        <f t="shared" si="122"/>
        <v>9.674320236162433E-5</v>
      </c>
      <c r="I613" s="4">
        <f t="shared" si="122"/>
        <v>9.674320236162433E-5</v>
      </c>
      <c r="J613" s="4">
        <f t="shared" si="122"/>
        <v>9.674320236162433E-5</v>
      </c>
      <c r="K613" s="4">
        <f t="shared" si="122"/>
        <v>9.674320236162433E-5</v>
      </c>
      <c r="L613" s="4">
        <f t="shared" si="122"/>
        <v>9.674320236162433E-5</v>
      </c>
      <c r="M613" s="4">
        <f t="shared" si="122"/>
        <v>9.674320236162433E-5</v>
      </c>
      <c r="N613" t="s">
        <v>242</v>
      </c>
      <c r="O613" t="s">
        <v>317</v>
      </c>
      <c r="P613" t="s">
        <v>305</v>
      </c>
      <c r="Q613" t="s">
        <v>245</v>
      </c>
    </row>
    <row r="614" spans="1:17" x14ac:dyDescent="0.25">
      <c r="A614" t="s">
        <v>305</v>
      </c>
      <c r="B614" t="s">
        <v>172</v>
      </c>
      <c r="C614" s="4">
        <f t="shared" ref="C614:M614" si="123">(0.0260899569876454 / ( 0.0260899569876454 + 0.0904226503711535 + 0.00131543821211861))*0.128648531732787%</f>
        <v>2.848587229949427E-4</v>
      </c>
      <c r="D614" s="4">
        <f t="shared" si="123"/>
        <v>2.848587229949427E-4</v>
      </c>
      <c r="E614" s="4">
        <f t="shared" si="123"/>
        <v>2.848587229949427E-4</v>
      </c>
      <c r="F614" s="4">
        <f t="shared" si="123"/>
        <v>2.848587229949427E-4</v>
      </c>
      <c r="G614" s="4">
        <f t="shared" si="123"/>
        <v>2.848587229949427E-4</v>
      </c>
      <c r="H614" s="4">
        <f t="shared" si="123"/>
        <v>2.848587229949427E-4</v>
      </c>
      <c r="I614" s="4">
        <f t="shared" si="123"/>
        <v>2.848587229949427E-4</v>
      </c>
      <c r="J614" s="4">
        <f t="shared" si="123"/>
        <v>2.848587229949427E-4</v>
      </c>
      <c r="K614" s="4">
        <f t="shared" si="123"/>
        <v>2.848587229949427E-4</v>
      </c>
      <c r="L614" s="4">
        <f t="shared" si="123"/>
        <v>2.848587229949427E-4</v>
      </c>
      <c r="M614" s="4">
        <f t="shared" si="123"/>
        <v>2.848587229949427E-4</v>
      </c>
      <c r="N614" t="s">
        <v>242</v>
      </c>
      <c r="O614" t="s">
        <v>315</v>
      </c>
      <c r="P614" t="s">
        <v>305</v>
      </c>
      <c r="Q614" t="s">
        <v>245</v>
      </c>
    </row>
    <row r="615" spans="1:17" x14ac:dyDescent="0.25">
      <c r="A615" t="s">
        <v>305</v>
      </c>
      <c r="B615" t="s">
        <v>172</v>
      </c>
      <c r="C615" s="4">
        <f t="shared" ref="C615:M615" si="124">(0.0904226503711535 / ( 0.0260899569876454 + 0.0904226503711535 + 0.00131543821211861))*0.128648531732787%</f>
        <v>9.8726420770805482E-4</v>
      </c>
      <c r="D615" s="4">
        <f t="shared" si="124"/>
        <v>9.8726420770805482E-4</v>
      </c>
      <c r="E615" s="4">
        <f t="shared" si="124"/>
        <v>9.8726420770805482E-4</v>
      </c>
      <c r="F615" s="4">
        <f t="shared" si="124"/>
        <v>9.8726420770805482E-4</v>
      </c>
      <c r="G615" s="4">
        <f t="shared" si="124"/>
        <v>9.8726420770805482E-4</v>
      </c>
      <c r="H615" s="4">
        <f t="shared" si="124"/>
        <v>9.8726420770805482E-4</v>
      </c>
      <c r="I615" s="4">
        <f t="shared" si="124"/>
        <v>9.8726420770805482E-4</v>
      </c>
      <c r="J615" s="4">
        <f t="shared" si="124"/>
        <v>9.8726420770805482E-4</v>
      </c>
      <c r="K615" s="4">
        <f t="shared" si="124"/>
        <v>9.8726420770805482E-4</v>
      </c>
      <c r="L615" s="4">
        <f t="shared" si="124"/>
        <v>9.8726420770805482E-4</v>
      </c>
      <c r="M615" s="4">
        <f t="shared" si="124"/>
        <v>9.8726420770805482E-4</v>
      </c>
      <c r="N615" t="s">
        <v>242</v>
      </c>
      <c r="O615" t="s">
        <v>316</v>
      </c>
      <c r="P615" t="s">
        <v>305</v>
      </c>
      <c r="Q615" t="s">
        <v>245</v>
      </c>
    </row>
    <row r="616" spans="1:17" x14ac:dyDescent="0.25">
      <c r="A616" t="s">
        <v>305</v>
      </c>
      <c r="B616" t="s">
        <v>172</v>
      </c>
      <c r="C616" s="4">
        <f t="shared" ref="C616:M616" si="125">(0.00131543821211861 / ( 0.0260899569876454 + 0.0904226503711535 + 0.00131543821211861))*0.128648531732787%</f>
        <v>1.4362386624872524E-5</v>
      </c>
      <c r="D616" s="4">
        <f t="shared" si="125"/>
        <v>1.4362386624872524E-5</v>
      </c>
      <c r="E616" s="4">
        <f t="shared" si="125"/>
        <v>1.4362386624872524E-5</v>
      </c>
      <c r="F616" s="4">
        <f t="shared" si="125"/>
        <v>1.4362386624872524E-5</v>
      </c>
      <c r="G616" s="4">
        <f t="shared" si="125"/>
        <v>1.4362386624872524E-5</v>
      </c>
      <c r="H616" s="4">
        <f t="shared" si="125"/>
        <v>1.4362386624872524E-5</v>
      </c>
      <c r="I616" s="4">
        <f t="shared" si="125"/>
        <v>1.4362386624872524E-5</v>
      </c>
      <c r="J616" s="4">
        <f t="shared" si="125"/>
        <v>1.4362386624872524E-5</v>
      </c>
      <c r="K616" s="4">
        <f t="shared" si="125"/>
        <v>1.4362386624872524E-5</v>
      </c>
      <c r="L616" s="4">
        <f t="shared" si="125"/>
        <v>1.4362386624872524E-5</v>
      </c>
      <c r="M616" s="4">
        <f t="shared" si="125"/>
        <v>1.4362386624872524E-5</v>
      </c>
      <c r="N616" t="s">
        <v>242</v>
      </c>
      <c r="O616" t="s">
        <v>317</v>
      </c>
      <c r="P616" t="s">
        <v>305</v>
      </c>
      <c r="Q616" t="s">
        <v>245</v>
      </c>
    </row>
    <row r="617" spans="1:17" x14ac:dyDescent="0.25">
      <c r="A617" t="s">
        <v>305</v>
      </c>
      <c r="B617" t="s">
        <v>150</v>
      </c>
      <c r="C617" s="4">
        <f t="shared" ref="C617:M617" si="126">(0.0260899569876454 / ( 0.0260899569876454 + 0.0904226503711535 + 0.00131543821211861))*3.54271685970208%</f>
        <v>7.8444253268550347E-3</v>
      </c>
      <c r="D617" s="4">
        <f t="shared" si="126"/>
        <v>7.8444253268550347E-3</v>
      </c>
      <c r="E617" s="4">
        <f t="shared" si="126"/>
        <v>7.8444253268550347E-3</v>
      </c>
      <c r="F617" s="4">
        <f t="shared" si="126"/>
        <v>7.8444253268550347E-3</v>
      </c>
      <c r="G617" s="4">
        <f t="shared" si="126"/>
        <v>7.8444253268550347E-3</v>
      </c>
      <c r="H617" s="4">
        <f t="shared" si="126"/>
        <v>7.8444253268550347E-3</v>
      </c>
      <c r="I617" s="4">
        <f t="shared" si="126"/>
        <v>7.8444253268550347E-3</v>
      </c>
      <c r="J617" s="4">
        <f t="shared" si="126"/>
        <v>7.8444253268550347E-3</v>
      </c>
      <c r="K617" s="4">
        <f t="shared" si="126"/>
        <v>7.8444253268550347E-3</v>
      </c>
      <c r="L617" s="4">
        <f t="shared" si="126"/>
        <v>7.8444253268550347E-3</v>
      </c>
      <c r="M617" s="4">
        <f t="shared" si="126"/>
        <v>7.8444253268550347E-3</v>
      </c>
      <c r="N617" t="s">
        <v>242</v>
      </c>
      <c r="O617" t="s">
        <v>315</v>
      </c>
      <c r="P617" t="s">
        <v>305</v>
      </c>
      <c r="Q617" t="s">
        <v>245</v>
      </c>
    </row>
    <row r="618" spans="1:17" x14ac:dyDescent="0.25">
      <c r="A618" t="s">
        <v>305</v>
      </c>
      <c r="B618" t="s">
        <v>150</v>
      </c>
      <c r="C618" s="4">
        <f t="shared" ref="C618:M618" si="127">(0.0904226503711535 / ( 0.0260899569876454 + 0.0904226503711535 + 0.00131543821211861))*3.54271685970208%</f>
        <v>2.718723258258807E-2</v>
      </c>
      <c r="D618" s="4">
        <f t="shared" si="127"/>
        <v>2.718723258258807E-2</v>
      </c>
      <c r="E618" s="4">
        <f t="shared" si="127"/>
        <v>2.718723258258807E-2</v>
      </c>
      <c r="F618" s="4">
        <f t="shared" si="127"/>
        <v>2.718723258258807E-2</v>
      </c>
      <c r="G618" s="4">
        <f t="shared" si="127"/>
        <v>2.718723258258807E-2</v>
      </c>
      <c r="H618" s="4">
        <f t="shared" si="127"/>
        <v>2.718723258258807E-2</v>
      </c>
      <c r="I618" s="4">
        <f t="shared" si="127"/>
        <v>2.718723258258807E-2</v>
      </c>
      <c r="J618" s="4">
        <f t="shared" si="127"/>
        <v>2.718723258258807E-2</v>
      </c>
      <c r="K618" s="4">
        <f t="shared" si="127"/>
        <v>2.718723258258807E-2</v>
      </c>
      <c r="L618" s="4">
        <f t="shared" si="127"/>
        <v>2.718723258258807E-2</v>
      </c>
      <c r="M618" s="4">
        <f t="shared" si="127"/>
        <v>2.718723258258807E-2</v>
      </c>
      <c r="N618" t="s">
        <v>242</v>
      </c>
      <c r="O618" t="s">
        <v>316</v>
      </c>
      <c r="P618" t="s">
        <v>305</v>
      </c>
      <c r="Q618" t="s">
        <v>245</v>
      </c>
    </row>
    <row r="619" spans="1:17" x14ac:dyDescent="0.25">
      <c r="A619" t="s">
        <v>305</v>
      </c>
      <c r="B619" t="s">
        <v>150</v>
      </c>
      <c r="C619" s="4">
        <f t="shared" ref="C619:M619" si="128">(0.00131543821211861 / ( 0.0260899569876454 + 0.0904226503711535 + 0.00131543821211861))*3.54271685970208%</f>
        <v>3.9551068757769537E-4</v>
      </c>
      <c r="D619" s="4">
        <f t="shared" si="128"/>
        <v>3.9551068757769537E-4</v>
      </c>
      <c r="E619" s="4">
        <f t="shared" si="128"/>
        <v>3.9551068757769537E-4</v>
      </c>
      <c r="F619" s="4">
        <f t="shared" si="128"/>
        <v>3.9551068757769537E-4</v>
      </c>
      <c r="G619" s="4">
        <f t="shared" si="128"/>
        <v>3.9551068757769537E-4</v>
      </c>
      <c r="H619" s="4">
        <f t="shared" si="128"/>
        <v>3.9551068757769537E-4</v>
      </c>
      <c r="I619" s="4">
        <f t="shared" si="128"/>
        <v>3.9551068757769537E-4</v>
      </c>
      <c r="J619" s="4">
        <f t="shared" si="128"/>
        <v>3.9551068757769537E-4</v>
      </c>
      <c r="K619" s="4">
        <f t="shared" si="128"/>
        <v>3.9551068757769537E-4</v>
      </c>
      <c r="L619" s="4">
        <f t="shared" si="128"/>
        <v>3.9551068757769537E-4</v>
      </c>
      <c r="M619" s="4">
        <f t="shared" si="128"/>
        <v>3.9551068757769537E-4</v>
      </c>
      <c r="N619" t="s">
        <v>242</v>
      </c>
      <c r="O619" t="s">
        <v>317</v>
      </c>
      <c r="P619" t="s">
        <v>305</v>
      </c>
      <c r="Q619" t="s">
        <v>245</v>
      </c>
    </row>
    <row r="620" spans="1:17" x14ac:dyDescent="0.25">
      <c r="A620" t="s">
        <v>305</v>
      </c>
      <c r="B620" t="s">
        <v>173</v>
      </c>
      <c r="C620" s="4">
        <f t="shared" ref="C620:M620" si="129">(0.0260899569876454 / ( 0.0260899569876454 + 0.0904226503711535 + 0.00131543821211861))*2.18391947162684%</f>
        <v>4.8357218184470179E-3</v>
      </c>
      <c r="D620" s="4">
        <f t="shared" si="129"/>
        <v>4.8357218184470179E-3</v>
      </c>
      <c r="E620" s="4">
        <f t="shared" si="129"/>
        <v>4.8357218184470179E-3</v>
      </c>
      <c r="F620" s="4">
        <f t="shared" si="129"/>
        <v>4.8357218184470179E-3</v>
      </c>
      <c r="G620" s="4">
        <f t="shared" si="129"/>
        <v>4.8357218184470179E-3</v>
      </c>
      <c r="H620" s="4">
        <f t="shared" si="129"/>
        <v>4.8357218184470179E-3</v>
      </c>
      <c r="I620" s="4">
        <f t="shared" si="129"/>
        <v>4.8357218184470179E-3</v>
      </c>
      <c r="J620" s="4">
        <f t="shared" si="129"/>
        <v>4.8357218184470179E-3</v>
      </c>
      <c r="K620" s="4">
        <f t="shared" si="129"/>
        <v>4.8357218184470179E-3</v>
      </c>
      <c r="L620" s="4">
        <f t="shared" si="129"/>
        <v>4.8357218184470179E-3</v>
      </c>
      <c r="M620" s="4">
        <f t="shared" si="129"/>
        <v>4.8357218184470179E-3</v>
      </c>
      <c r="N620" t="s">
        <v>242</v>
      </c>
      <c r="O620" t="s">
        <v>315</v>
      </c>
      <c r="P620" t="s">
        <v>305</v>
      </c>
      <c r="Q620" t="s">
        <v>245</v>
      </c>
    </row>
    <row r="621" spans="1:17" x14ac:dyDescent="0.25">
      <c r="A621" t="s">
        <v>305</v>
      </c>
      <c r="B621" t="s">
        <v>173</v>
      </c>
      <c r="C621" s="4">
        <f t="shared" ref="C621:M621" si="130">(0.0904226503711535 / ( 0.0260899569876454 + 0.0904226503711535 + 0.00131543821211861))*2.18391947162684%</f>
        <v>1.6759659032349196E-2</v>
      </c>
      <c r="D621" s="4">
        <f t="shared" si="130"/>
        <v>1.6759659032349196E-2</v>
      </c>
      <c r="E621" s="4">
        <f t="shared" si="130"/>
        <v>1.6759659032349196E-2</v>
      </c>
      <c r="F621" s="4">
        <f t="shared" si="130"/>
        <v>1.6759659032349196E-2</v>
      </c>
      <c r="G621" s="4">
        <f t="shared" si="130"/>
        <v>1.6759659032349196E-2</v>
      </c>
      <c r="H621" s="4">
        <f t="shared" si="130"/>
        <v>1.6759659032349196E-2</v>
      </c>
      <c r="I621" s="4">
        <f t="shared" si="130"/>
        <v>1.6759659032349196E-2</v>
      </c>
      <c r="J621" s="4">
        <f t="shared" si="130"/>
        <v>1.6759659032349196E-2</v>
      </c>
      <c r="K621" s="4">
        <f t="shared" si="130"/>
        <v>1.6759659032349196E-2</v>
      </c>
      <c r="L621" s="4">
        <f t="shared" si="130"/>
        <v>1.6759659032349196E-2</v>
      </c>
      <c r="M621" s="4">
        <f t="shared" si="130"/>
        <v>1.6759659032349196E-2</v>
      </c>
      <c r="N621" t="s">
        <v>242</v>
      </c>
      <c r="O621" t="s">
        <v>316</v>
      </c>
      <c r="P621" t="s">
        <v>305</v>
      </c>
      <c r="Q621" t="s">
        <v>245</v>
      </c>
    </row>
    <row r="622" spans="1:17" x14ac:dyDescent="0.25">
      <c r="A622" t="s">
        <v>305</v>
      </c>
      <c r="B622" t="s">
        <v>173</v>
      </c>
      <c r="C622" s="4">
        <f t="shared" ref="C622:M622" si="131">(0.00131543821211861 / ( 0.0260899569876454 + 0.0904226503711535 + 0.00131543821211861))*2.18391947162684%</f>
        <v>2.4381386547218611E-4</v>
      </c>
      <c r="D622" s="4">
        <f t="shared" si="131"/>
        <v>2.4381386547218611E-4</v>
      </c>
      <c r="E622" s="4">
        <f t="shared" si="131"/>
        <v>2.4381386547218611E-4</v>
      </c>
      <c r="F622" s="4">
        <f t="shared" si="131"/>
        <v>2.4381386547218611E-4</v>
      </c>
      <c r="G622" s="4">
        <f t="shared" si="131"/>
        <v>2.4381386547218611E-4</v>
      </c>
      <c r="H622" s="4">
        <f t="shared" si="131"/>
        <v>2.4381386547218611E-4</v>
      </c>
      <c r="I622" s="4">
        <f t="shared" si="131"/>
        <v>2.4381386547218611E-4</v>
      </c>
      <c r="J622" s="4">
        <f t="shared" si="131"/>
        <v>2.4381386547218611E-4</v>
      </c>
      <c r="K622" s="4">
        <f t="shared" si="131"/>
        <v>2.4381386547218611E-4</v>
      </c>
      <c r="L622" s="4">
        <f t="shared" si="131"/>
        <v>2.4381386547218611E-4</v>
      </c>
      <c r="M622" s="4">
        <f t="shared" si="131"/>
        <v>2.4381386547218611E-4</v>
      </c>
      <c r="N622" t="s">
        <v>242</v>
      </c>
      <c r="O622" t="s">
        <v>317</v>
      </c>
      <c r="P622" t="s">
        <v>305</v>
      </c>
      <c r="Q622" t="s">
        <v>245</v>
      </c>
    </row>
    <row r="623" spans="1:17" x14ac:dyDescent="0.25">
      <c r="A623" t="s">
        <v>305</v>
      </c>
      <c r="B623" t="s">
        <v>161</v>
      </c>
      <c r="C623" s="4">
        <f t="shared" ref="C623:M623" si="132">(0.0260899569876454 / ( 0.0260899569876454 + 0.0904226503711535 + 0.00131543821211861))*0.160274973432838%</f>
        <v>3.5488725479554704E-4</v>
      </c>
      <c r="D623" s="4">
        <f t="shared" si="132"/>
        <v>3.5488725479554704E-4</v>
      </c>
      <c r="E623" s="4">
        <f t="shared" si="132"/>
        <v>3.5488725479554704E-4</v>
      </c>
      <c r="F623" s="4">
        <f t="shared" si="132"/>
        <v>3.5488725479554704E-4</v>
      </c>
      <c r="G623" s="4">
        <f t="shared" si="132"/>
        <v>3.5488725479554704E-4</v>
      </c>
      <c r="H623" s="4">
        <f t="shared" si="132"/>
        <v>3.5488725479554704E-4</v>
      </c>
      <c r="I623" s="4">
        <f t="shared" si="132"/>
        <v>3.5488725479554704E-4</v>
      </c>
      <c r="J623" s="4">
        <f t="shared" si="132"/>
        <v>3.5488725479554704E-4</v>
      </c>
      <c r="K623" s="4">
        <f t="shared" si="132"/>
        <v>3.5488725479554704E-4</v>
      </c>
      <c r="L623" s="4">
        <f t="shared" si="132"/>
        <v>3.5488725479554704E-4</v>
      </c>
      <c r="M623" s="4">
        <f t="shared" si="132"/>
        <v>3.5488725479554704E-4</v>
      </c>
      <c r="N623" t="s">
        <v>242</v>
      </c>
      <c r="O623" t="s">
        <v>315</v>
      </c>
      <c r="P623" t="s">
        <v>305</v>
      </c>
      <c r="Q623" t="s">
        <v>245</v>
      </c>
    </row>
    <row r="624" spans="1:17" x14ac:dyDescent="0.25">
      <c r="A624" t="s">
        <v>305</v>
      </c>
      <c r="B624" t="s">
        <v>161</v>
      </c>
      <c r="C624" s="4">
        <f t="shared" ref="C624:M624" si="133">(0.0904226503711535 / ( 0.0260899569876454 + 0.0904226503711535 + 0.00131543821211861))*0.160274973432838%</f>
        <v>1.229969301089764E-3</v>
      </c>
      <c r="D624" s="4">
        <f t="shared" si="133"/>
        <v>1.229969301089764E-3</v>
      </c>
      <c r="E624" s="4">
        <f t="shared" si="133"/>
        <v>1.229969301089764E-3</v>
      </c>
      <c r="F624" s="4">
        <f t="shared" si="133"/>
        <v>1.229969301089764E-3</v>
      </c>
      <c r="G624" s="4">
        <f t="shared" si="133"/>
        <v>1.229969301089764E-3</v>
      </c>
      <c r="H624" s="4">
        <f t="shared" si="133"/>
        <v>1.229969301089764E-3</v>
      </c>
      <c r="I624" s="4">
        <f t="shared" si="133"/>
        <v>1.229969301089764E-3</v>
      </c>
      <c r="J624" s="4">
        <f t="shared" si="133"/>
        <v>1.229969301089764E-3</v>
      </c>
      <c r="K624" s="4">
        <f t="shared" si="133"/>
        <v>1.229969301089764E-3</v>
      </c>
      <c r="L624" s="4">
        <f t="shared" si="133"/>
        <v>1.229969301089764E-3</v>
      </c>
      <c r="M624" s="4">
        <f t="shared" si="133"/>
        <v>1.229969301089764E-3</v>
      </c>
      <c r="N624" t="s">
        <v>242</v>
      </c>
      <c r="O624" t="s">
        <v>316</v>
      </c>
      <c r="P624" t="s">
        <v>305</v>
      </c>
      <c r="Q624" t="s">
        <v>245</v>
      </c>
    </row>
    <row r="625" spans="1:17" x14ac:dyDescent="0.25">
      <c r="A625" t="s">
        <v>305</v>
      </c>
      <c r="B625" t="s">
        <v>161</v>
      </c>
      <c r="C625" s="4">
        <f t="shared" ref="C625:M625" si="134">(0.00131543821211861 / ( 0.0260899569876454 + 0.0904226503711535 + 0.00131543821211861))*0.160274973432838%</f>
        <v>1.789317844306907E-5</v>
      </c>
      <c r="D625" s="4">
        <f t="shared" si="134"/>
        <v>1.789317844306907E-5</v>
      </c>
      <c r="E625" s="4">
        <f t="shared" si="134"/>
        <v>1.789317844306907E-5</v>
      </c>
      <c r="F625" s="4">
        <f t="shared" si="134"/>
        <v>1.789317844306907E-5</v>
      </c>
      <c r="G625" s="4">
        <f t="shared" si="134"/>
        <v>1.789317844306907E-5</v>
      </c>
      <c r="H625" s="4">
        <f t="shared" si="134"/>
        <v>1.789317844306907E-5</v>
      </c>
      <c r="I625" s="4">
        <f t="shared" si="134"/>
        <v>1.789317844306907E-5</v>
      </c>
      <c r="J625" s="4">
        <f t="shared" si="134"/>
        <v>1.789317844306907E-5</v>
      </c>
      <c r="K625" s="4">
        <f t="shared" si="134"/>
        <v>1.789317844306907E-5</v>
      </c>
      <c r="L625" s="4">
        <f t="shared" si="134"/>
        <v>1.789317844306907E-5</v>
      </c>
      <c r="M625" s="4">
        <f t="shared" si="134"/>
        <v>1.789317844306907E-5</v>
      </c>
      <c r="N625" t="s">
        <v>242</v>
      </c>
      <c r="O625" t="s">
        <v>317</v>
      </c>
      <c r="P625" t="s">
        <v>305</v>
      </c>
      <c r="Q625" t="s">
        <v>245</v>
      </c>
    </row>
    <row r="626" spans="1:17" x14ac:dyDescent="0.25">
      <c r="A626" t="s">
        <v>305</v>
      </c>
      <c r="B626" t="s">
        <v>174</v>
      </c>
      <c r="C626" s="4">
        <f t="shared" ref="C626:M626" si="135">(0.0260899569876454 / ( 0.0260899569876454 + 0.0904226503711535 + 0.00131543821211861))*0.738917593344438%</f>
        <v>1.6361408809219141E-3</v>
      </c>
      <c r="D626" s="4">
        <f t="shared" si="135"/>
        <v>1.6361408809219141E-3</v>
      </c>
      <c r="E626" s="4">
        <f t="shared" si="135"/>
        <v>1.6361408809219141E-3</v>
      </c>
      <c r="F626" s="4">
        <f t="shared" si="135"/>
        <v>1.6361408809219141E-3</v>
      </c>
      <c r="G626" s="4">
        <f t="shared" si="135"/>
        <v>1.6361408809219141E-3</v>
      </c>
      <c r="H626" s="4">
        <f t="shared" si="135"/>
        <v>1.6361408809219141E-3</v>
      </c>
      <c r="I626" s="4">
        <f t="shared" si="135"/>
        <v>1.6361408809219141E-3</v>
      </c>
      <c r="J626" s="4">
        <f t="shared" si="135"/>
        <v>1.6361408809219141E-3</v>
      </c>
      <c r="K626" s="4">
        <f t="shared" si="135"/>
        <v>1.6361408809219141E-3</v>
      </c>
      <c r="L626" s="4">
        <f t="shared" si="135"/>
        <v>1.6361408809219141E-3</v>
      </c>
      <c r="M626" s="4">
        <f t="shared" si="135"/>
        <v>1.6361408809219141E-3</v>
      </c>
      <c r="N626" t="s">
        <v>242</v>
      </c>
      <c r="O626" t="s">
        <v>315</v>
      </c>
      <c r="P626" t="s">
        <v>305</v>
      </c>
      <c r="Q626" t="s">
        <v>245</v>
      </c>
    </row>
    <row r="627" spans="1:17" x14ac:dyDescent="0.25">
      <c r="A627" t="s">
        <v>305</v>
      </c>
      <c r="B627" t="s">
        <v>174</v>
      </c>
      <c r="C627" s="4">
        <f t="shared" ref="C627:M627" si="136">(0.0904226503711535 / ( 0.0260899569876454 + 0.0904226503711535 + 0.00131543821211861))*0.738917593344438%</f>
        <v>5.6705419216908099E-3</v>
      </c>
      <c r="D627" s="4">
        <f t="shared" si="136"/>
        <v>5.6705419216908099E-3</v>
      </c>
      <c r="E627" s="4">
        <f t="shared" si="136"/>
        <v>5.6705419216908099E-3</v>
      </c>
      <c r="F627" s="4">
        <f t="shared" si="136"/>
        <v>5.6705419216908099E-3</v>
      </c>
      <c r="G627" s="4">
        <f t="shared" si="136"/>
        <v>5.6705419216908099E-3</v>
      </c>
      <c r="H627" s="4">
        <f t="shared" si="136"/>
        <v>5.6705419216908099E-3</v>
      </c>
      <c r="I627" s="4">
        <f t="shared" si="136"/>
        <v>5.6705419216908099E-3</v>
      </c>
      <c r="J627" s="4">
        <f t="shared" si="136"/>
        <v>5.6705419216908099E-3</v>
      </c>
      <c r="K627" s="4">
        <f t="shared" si="136"/>
        <v>5.6705419216908099E-3</v>
      </c>
      <c r="L627" s="4">
        <f t="shared" si="136"/>
        <v>5.6705419216908099E-3</v>
      </c>
      <c r="M627" s="4">
        <f t="shared" si="136"/>
        <v>5.6705419216908099E-3</v>
      </c>
      <c r="N627" t="s">
        <v>242</v>
      </c>
      <c r="O627" t="s">
        <v>316</v>
      </c>
      <c r="P627" t="s">
        <v>305</v>
      </c>
      <c r="Q627" t="s">
        <v>245</v>
      </c>
    </row>
    <row r="628" spans="1:17" x14ac:dyDescent="0.25">
      <c r="A628" t="s">
        <v>305</v>
      </c>
      <c r="B628" t="s">
        <v>174</v>
      </c>
      <c r="C628" s="4">
        <f t="shared" ref="C628:M628" si="137">(0.00131543821211861 / ( 0.0260899569876454 + 0.0904226503711535 + 0.00131543821211861))*0.738917593344438%</f>
        <v>8.2493130831655254E-5</v>
      </c>
      <c r="D628" s="4">
        <f t="shared" si="137"/>
        <v>8.2493130831655254E-5</v>
      </c>
      <c r="E628" s="4">
        <f t="shared" si="137"/>
        <v>8.2493130831655254E-5</v>
      </c>
      <c r="F628" s="4">
        <f t="shared" si="137"/>
        <v>8.2493130831655254E-5</v>
      </c>
      <c r="G628" s="4">
        <f t="shared" si="137"/>
        <v>8.2493130831655254E-5</v>
      </c>
      <c r="H628" s="4">
        <f t="shared" si="137"/>
        <v>8.2493130831655254E-5</v>
      </c>
      <c r="I628" s="4">
        <f t="shared" si="137"/>
        <v>8.2493130831655254E-5</v>
      </c>
      <c r="J628" s="4">
        <f t="shared" si="137"/>
        <v>8.2493130831655254E-5</v>
      </c>
      <c r="K628" s="4">
        <f t="shared" si="137"/>
        <v>8.2493130831655254E-5</v>
      </c>
      <c r="L628" s="4">
        <f t="shared" si="137"/>
        <v>8.2493130831655254E-5</v>
      </c>
      <c r="M628" s="4">
        <f t="shared" si="137"/>
        <v>8.2493130831655254E-5</v>
      </c>
      <c r="N628" t="s">
        <v>242</v>
      </c>
      <c r="O628" t="s">
        <v>317</v>
      </c>
      <c r="P628" t="s">
        <v>305</v>
      </c>
      <c r="Q628" t="s">
        <v>245</v>
      </c>
    </row>
    <row r="629" spans="1:17" x14ac:dyDescent="0.25">
      <c r="A629" t="s">
        <v>305</v>
      </c>
      <c r="B629" t="s">
        <v>175</v>
      </c>
      <c r="C629" s="4">
        <f t="shared" ref="C629:M629" si="138">(0.0260899569876454 / ( 0.0260899569876454 + 0.0904226503711535 + 0.00131543821211861))*0.0579478586499649%</f>
        <v>1.2831046567718835E-4</v>
      </c>
      <c r="D629" s="4">
        <f t="shared" si="138"/>
        <v>1.2831046567718835E-4</v>
      </c>
      <c r="E629" s="4">
        <f t="shared" si="138"/>
        <v>1.2831046567718835E-4</v>
      </c>
      <c r="F629" s="4">
        <f t="shared" si="138"/>
        <v>1.2831046567718835E-4</v>
      </c>
      <c r="G629" s="4">
        <f t="shared" si="138"/>
        <v>1.2831046567718835E-4</v>
      </c>
      <c r="H629" s="4">
        <f t="shared" si="138"/>
        <v>1.2831046567718835E-4</v>
      </c>
      <c r="I629" s="4">
        <f t="shared" si="138"/>
        <v>1.2831046567718835E-4</v>
      </c>
      <c r="J629" s="4">
        <f t="shared" si="138"/>
        <v>1.2831046567718835E-4</v>
      </c>
      <c r="K629" s="4">
        <f t="shared" si="138"/>
        <v>1.2831046567718835E-4</v>
      </c>
      <c r="L629" s="4">
        <f t="shared" si="138"/>
        <v>1.2831046567718835E-4</v>
      </c>
      <c r="M629" s="4">
        <f t="shared" si="138"/>
        <v>1.2831046567718835E-4</v>
      </c>
      <c r="N629" t="s">
        <v>242</v>
      </c>
      <c r="O629" t="s">
        <v>315</v>
      </c>
      <c r="P629" t="s">
        <v>305</v>
      </c>
      <c r="Q629" t="s">
        <v>245</v>
      </c>
    </row>
    <row r="630" spans="1:17" x14ac:dyDescent="0.25">
      <c r="A630" t="s">
        <v>305</v>
      </c>
      <c r="B630" t="s">
        <v>175</v>
      </c>
      <c r="C630" s="4">
        <f t="shared" ref="C630:M630" si="139">(0.0904226503711535 / ( 0.0260899569876454 + 0.0904226503711535 + 0.00131543821211861))*0.0579478586499649%</f>
        <v>4.4469879281067306E-4</v>
      </c>
      <c r="D630" s="4">
        <f t="shared" si="139"/>
        <v>4.4469879281067306E-4</v>
      </c>
      <c r="E630" s="4">
        <f t="shared" si="139"/>
        <v>4.4469879281067306E-4</v>
      </c>
      <c r="F630" s="4">
        <f t="shared" si="139"/>
        <v>4.4469879281067306E-4</v>
      </c>
      <c r="G630" s="4">
        <f t="shared" si="139"/>
        <v>4.4469879281067306E-4</v>
      </c>
      <c r="H630" s="4">
        <f t="shared" si="139"/>
        <v>4.4469879281067306E-4</v>
      </c>
      <c r="I630" s="4">
        <f t="shared" si="139"/>
        <v>4.4469879281067306E-4</v>
      </c>
      <c r="J630" s="4">
        <f t="shared" si="139"/>
        <v>4.4469879281067306E-4</v>
      </c>
      <c r="K630" s="4">
        <f t="shared" si="139"/>
        <v>4.4469879281067306E-4</v>
      </c>
      <c r="L630" s="4">
        <f t="shared" si="139"/>
        <v>4.4469879281067306E-4</v>
      </c>
      <c r="M630" s="4">
        <f t="shared" si="139"/>
        <v>4.4469879281067306E-4</v>
      </c>
      <c r="N630" t="s">
        <v>242</v>
      </c>
      <c r="O630" t="s">
        <v>316</v>
      </c>
      <c r="P630" t="s">
        <v>305</v>
      </c>
      <c r="Q630" t="s">
        <v>245</v>
      </c>
    </row>
    <row r="631" spans="1:17" x14ac:dyDescent="0.25">
      <c r="A631" t="s">
        <v>305</v>
      </c>
      <c r="B631" t="s">
        <v>175</v>
      </c>
      <c r="C631" s="4">
        <f t="shared" ref="C631:M631" si="140">(0.00131543821211861 / ( 0.0260899569876454 + 0.0904226503711535 + 0.00131543821211861))*0.0579478586499649%</f>
        <v>6.4693280117875578E-6</v>
      </c>
      <c r="D631" s="4">
        <f t="shared" si="140"/>
        <v>6.4693280117875578E-6</v>
      </c>
      <c r="E631" s="4">
        <f t="shared" si="140"/>
        <v>6.4693280117875578E-6</v>
      </c>
      <c r="F631" s="4">
        <f t="shared" si="140"/>
        <v>6.4693280117875578E-6</v>
      </c>
      <c r="G631" s="4">
        <f t="shared" si="140"/>
        <v>6.4693280117875578E-6</v>
      </c>
      <c r="H631" s="4">
        <f t="shared" si="140"/>
        <v>6.4693280117875578E-6</v>
      </c>
      <c r="I631" s="4">
        <f t="shared" si="140"/>
        <v>6.4693280117875578E-6</v>
      </c>
      <c r="J631" s="4">
        <f t="shared" si="140"/>
        <v>6.4693280117875578E-6</v>
      </c>
      <c r="K631" s="4">
        <f t="shared" si="140"/>
        <v>6.4693280117875578E-6</v>
      </c>
      <c r="L631" s="4">
        <f t="shared" si="140"/>
        <v>6.4693280117875578E-6</v>
      </c>
      <c r="M631" s="4">
        <f t="shared" si="140"/>
        <v>6.4693280117875578E-6</v>
      </c>
      <c r="N631" t="s">
        <v>242</v>
      </c>
      <c r="O631" t="s">
        <v>317</v>
      </c>
      <c r="P631" t="s">
        <v>305</v>
      </c>
      <c r="Q631" t="s">
        <v>245</v>
      </c>
    </row>
    <row r="632" spans="1:17" x14ac:dyDescent="0.25">
      <c r="A632" t="s">
        <v>305</v>
      </c>
      <c r="B632" t="s">
        <v>176</v>
      </c>
      <c r="C632" s="4">
        <f t="shared" ref="C632:M632" si="141">(0.0260899569876454 / ( 0.0260899569876454 + 0.0904226503711535 + 0.00131543821211861))*0.0348751808198132%</f>
        <v>7.7222019860937344E-5</v>
      </c>
      <c r="D632" s="4">
        <f t="shared" si="141"/>
        <v>7.7222019860937344E-5</v>
      </c>
      <c r="E632" s="4">
        <f t="shared" si="141"/>
        <v>7.7222019860937344E-5</v>
      </c>
      <c r="F632" s="4">
        <f t="shared" si="141"/>
        <v>7.7222019860937344E-5</v>
      </c>
      <c r="G632" s="4">
        <f t="shared" si="141"/>
        <v>7.7222019860937344E-5</v>
      </c>
      <c r="H632" s="4">
        <f t="shared" si="141"/>
        <v>7.7222019860937344E-5</v>
      </c>
      <c r="I632" s="4">
        <f t="shared" si="141"/>
        <v>7.7222019860937344E-5</v>
      </c>
      <c r="J632" s="4">
        <f t="shared" si="141"/>
        <v>7.7222019860937344E-5</v>
      </c>
      <c r="K632" s="4">
        <f t="shared" si="141"/>
        <v>7.7222019860937344E-5</v>
      </c>
      <c r="L632" s="4">
        <f t="shared" si="141"/>
        <v>7.7222019860937344E-5</v>
      </c>
      <c r="M632" s="4">
        <f t="shared" si="141"/>
        <v>7.7222019860937344E-5</v>
      </c>
      <c r="N632" t="s">
        <v>242</v>
      </c>
      <c r="O632" t="s">
        <v>315</v>
      </c>
      <c r="P632" t="s">
        <v>305</v>
      </c>
      <c r="Q632" t="s">
        <v>245</v>
      </c>
    </row>
    <row r="633" spans="1:17" x14ac:dyDescent="0.25">
      <c r="A633" t="s">
        <v>305</v>
      </c>
      <c r="B633" t="s">
        <v>176</v>
      </c>
      <c r="C633" s="4">
        <f t="shared" ref="C633:M633" si="142">(0.0904226503711535 / ( 0.0260899569876454 + 0.0904226503711535 + 0.00131543821211861))*0.0348751808198132%</f>
        <v>2.6763630565379424E-4</v>
      </c>
      <c r="D633" s="4">
        <f t="shared" si="142"/>
        <v>2.6763630565379424E-4</v>
      </c>
      <c r="E633" s="4">
        <f t="shared" si="142"/>
        <v>2.6763630565379424E-4</v>
      </c>
      <c r="F633" s="4">
        <f t="shared" si="142"/>
        <v>2.6763630565379424E-4</v>
      </c>
      <c r="G633" s="4">
        <f t="shared" si="142"/>
        <v>2.6763630565379424E-4</v>
      </c>
      <c r="H633" s="4">
        <f t="shared" si="142"/>
        <v>2.6763630565379424E-4</v>
      </c>
      <c r="I633" s="4">
        <f t="shared" si="142"/>
        <v>2.6763630565379424E-4</v>
      </c>
      <c r="J633" s="4">
        <f t="shared" si="142"/>
        <v>2.6763630565379424E-4</v>
      </c>
      <c r="K633" s="4">
        <f t="shared" si="142"/>
        <v>2.6763630565379424E-4</v>
      </c>
      <c r="L633" s="4">
        <f t="shared" si="142"/>
        <v>2.6763630565379424E-4</v>
      </c>
      <c r="M633" s="4">
        <f t="shared" si="142"/>
        <v>2.6763630565379424E-4</v>
      </c>
      <c r="N633" t="s">
        <v>242</v>
      </c>
      <c r="O633" t="s">
        <v>316</v>
      </c>
      <c r="P633" t="s">
        <v>305</v>
      </c>
      <c r="Q633" t="s">
        <v>245</v>
      </c>
    </row>
    <row r="634" spans="1:17" x14ac:dyDescent="0.25">
      <c r="A634" t="s">
        <v>305</v>
      </c>
      <c r="B634" t="s">
        <v>176</v>
      </c>
      <c r="C634" s="4">
        <f t="shared" ref="C634:M634" si="143">(0.00131543821211861 / ( 0.0260899569876454 + 0.0904226503711535 + 0.00131543821211861))*0.0348751808198132%</f>
        <v>3.8934826834004222E-6</v>
      </c>
      <c r="D634" s="4">
        <f t="shared" si="143"/>
        <v>3.8934826834004222E-6</v>
      </c>
      <c r="E634" s="4">
        <f t="shared" si="143"/>
        <v>3.8934826834004222E-6</v>
      </c>
      <c r="F634" s="4">
        <f t="shared" si="143"/>
        <v>3.8934826834004222E-6</v>
      </c>
      <c r="G634" s="4">
        <f t="shared" si="143"/>
        <v>3.8934826834004222E-6</v>
      </c>
      <c r="H634" s="4">
        <f t="shared" si="143"/>
        <v>3.8934826834004222E-6</v>
      </c>
      <c r="I634" s="4">
        <f t="shared" si="143"/>
        <v>3.8934826834004222E-6</v>
      </c>
      <c r="J634" s="4">
        <f t="shared" si="143"/>
        <v>3.8934826834004222E-6</v>
      </c>
      <c r="K634" s="4">
        <f t="shared" si="143"/>
        <v>3.8934826834004222E-6</v>
      </c>
      <c r="L634" s="4">
        <f t="shared" si="143"/>
        <v>3.8934826834004222E-6</v>
      </c>
      <c r="M634" s="4">
        <f t="shared" si="143"/>
        <v>3.8934826834004222E-6</v>
      </c>
      <c r="N634" t="s">
        <v>242</v>
      </c>
      <c r="O634" t="s">
        <v>317</v>
      </c>
      <c r="P634" t="s">
        <v>305</v>
      </c>
      <c r="Q634" t="s">
        <v>245</v>
      </c>
    </row>
    <row r="635" spans="1:17" x14ac:dyDescent="0.25">
      <c r="A635" t="s">
        <v>305</v>
      </c>
      <c r="B635" t="s">
        <v>106</v>
      </c>
      <c r="C635" s="4">
        <f t="shared" ref="C635:M635" si="144">(0.0260899569876454 / ( 0.0260899569876454 + 0.0904226503711535 + 0.00131543821211861))*0.0649930391368328%</f>
        <v>1.4391018601388468E-4</v>
      </c>
      <c r="D635" s="4">
        <f t="shared" si="144"/>
        <v>1.4391018601388468E-4</v>
      </c>
      <c r="E635" s="4">
        <f t="shared" si="144"/>
        <v>1.4391018601388468E-4</v>
      </c>
      <c r="F635" s="4">
        <f t="shared" si="144"/>
        <v>1.4391018601388468E-4</v>
      </c>
      <c r="G635" s="4">
        <f t="shared" si="144"/>
        <v>1.4391018601388468E-4</v>
      </c>
      <c r="H635" s="4">
        <f t="shared" si="144"/>
        <v>1.4391018601388468E-4</v>
      </c>
      <c r="I635" s="4">
        <f t="shared" si="144"/>
        <v>1.4391018601388468E-4</v>
      </c>
      <c r="J635" s="4">
        <f t="shared" si="144"/>
        <v>1.4391018601388468E-4</v>
      </c>
      <c r="K635" s="4">
        <f t="shared" si="144"/>
        <v>1.4391018601388468E-4</v>
      </c>
      <c r="L635" s="4">
        <f t="shared" si="144"/>
        <v>1.4391018601388468E-4</v>
      </c>
      <c r="M635" s="4">
        <f t="shared" si="144"/>
        <v>1.4391018601388468E-4</v>
      </c>
      <c r="N635" t="s">
        <v>242</v>
      </c>
      <c r="O635" t="s">
        <v>315</v>
      </c>
      <c r="P635" t="s">
        <v>305</v>
      </c>
      <c r="Q635" t="s">
        <v>245</v>
      </c>
    </row>
    <row r="636" spans="1:17" x14ac:dyDescent="0.25">
      <c r="A636" t="s">
        <v>305</v>
      </c>
      <c r="B636" t="s">
        <v>106</v>
      </c>
      <c r="C636" s="4">
        <f t="shared" ref="C636:M636" si="145">(0.0904226503711535 / ( 0.0260899569876454 + 0.0904226503711535 + 0.00131543821211861))*0.0649930391368328%</f>
        <v>4.9876434985857555E-4</v>
      </c>
      <c r="D636" s="4">
        <f t="shared" si="145"/>
        <v>4.9876434985857555E-4</v>
      </c>
      <c r="E636" s="4">
        <f t="shared" si="145"/>
        <v>4.9876434985857555E-4</v>
      </c>
      <c r="F636" s="4">
        <f t="shared" si="145"/>
        <v>4.9876434985857555E-4</v>
      </c>
      <c r="G636" s="4">
        <f t="shared" si="145"/>
        <v>4.9876434985857555E-4</v>
      </c>
      <c r="H636" s="4">
        <f t="shared" si="145"/>
        <v>4.9876434985857555E-4</v>
      </c>
      <c r="I636" s="4">
        <f t="shared" si="145"/>
        <v>4.9876434985857555E-4</v>
      </c>
      <c r="J636" s="4">
        <f t="shared" si="145"/>
        <v>4.9876434985857555E-4</v>
      </c>
      <c r="K636" s="4">
        <f t="shared" si="145"/>
        <v>4.9876434985857555E-4</v>
      </c>
      <c r="L636" s="4">
        <f t="shared" si="145"/>
        <v>4.9876434985857555E-4</v>
      </c>
      <c r="M636" s="4">
        <f t="shared" si="145"/>
        <v>4.9876434985857555E-4</v>
      </c>
      <c r="N636" t="s">
        <v>242</v>
      </c>
      <c r="O636" t="s">
        <v>316</v>
      </c>
      <c r="P636" t="s">
        <v>305</v>
      </c>
      <c r="Q636" t="s">
        <v>245</v>
      </c>
    </row>
    <row r="637" spans="1:17" x14ac:dyDescent="0.25">
      <c r="A637" t="s">
        <v>305</v>
      </c>
      <c r="B637" t="s">
        <v>106</v>
      </c>
      <c r="C637" s="4">
        <f t="shared" ref="C637:M637" si="146">(0.00131543821211861 / ( 0.0260899569876454 + 0.0904226503711535 + 0.00131543821211861))*0.0649930391368328%</f>
        <v>7.2558554958677864E-6</v>
      </c>
      <c r="D637" s="4">
        <f t="shared" si="146"/>
        <v>7.2558554958677864E-6</v>
      </c>
      <c r="E637" s="4">
        <f t="shared" si="146"/>
        <v>7.2558554958677864E-6</v>
      </c>
      <c r="F637" s="4">
        <f t="shared" si="146"/>
        <v>7.2558554958677864E-6</v>
      </c>
      <c r="G637" s="4">
        <f t="shared" si="146"/>
        <v>7.2558554958677864E-6</v>
      </c>
      <c r="H637" s="4">
        <f t="shared" si="146"/>
        <v>7.2558554958677864E-6</v>
      </c>
      <c r="I637" s="4">
        <f t="shared" si="146"/>
        <v>7.2558554958677864E-6</v>
      </c>
      <c r="J637" s="4">
        <f t="shared" si="146"/>
        <v>7.2558554958677864E-6</v>
      </c>
      <c r="K637" s="4">
        <f t="shared" si="146"/>
        <v>7.2558554958677864E-6</v>
      </c>
      <c r="L637" s="4">
        <f t="shared" si="146"/>
        <v>7.2558554958677864E-6</v>
      </c>
      <c r="M637" s="4">
        <f t="shared" si="146"/>
        <v>7.2558554958677864E-6</v>
      </c>
      <c r="N637" t="s">
        <v>242</v>
      </c>
      <c r="O637" t="s">
        <v>317</v>
      </c>
      <c r="P637" t="s">
        <v>305</v>
      </c>
      <c r="Q637" t="s">
        <v>245</v>
      </c>
    </row>
    <row r="638" spans="1:17" x14ac:dyDescent="0.25">
      <c r="A638" t="s">
        <v>305</v>
      </c>
      <c r="B638" t="s">
        <v>177</v>
      </c>
      <c r="C638" s="4">
        <f t="shared" ref="C638:M638" si="147">(0.0260899569876454 / ( 0.0260899569876454 + 0.0904226503711535 + 0.00131543821211861))*0.657269601482717%</f>
        <v>1.455352632633622E-3</v>
      </c>
      <c r="D638" s="4">
        <f t="shared" si="147"/>
        <v>1.455352632633622E-3</v>
      </c>
      <c r="E638" s="4">
        <f t="shared" si="147"/>
        <v>1.455352632633622E-3</v>
      </c>
      <c r="F638" s="4">
        <f t="shared" si="147"/>
        <v>1.455352632633622E-3</v>
      </c>
      <c r="G638" s="4">
        <f t="shared" si="147"/>
        <v>1.455352632633622E-3</v>
      </c>
      <c r="H638" s="4">
        <f t="shared" si="147"/>
        <v>1.455352632633622E-3</v>
      </c>
      <c r="I638" s="4">
        <f t="shared" si="147"/>
        <v>1.455352632633622E-3</v>
      </c>
      <c r="J638" s="4">
        <f t="shared" si="147"/>
        <v>1.455352632633622E-3</v>
      </c>
      <c r="K638" s="4">
        <f t="shared" si="147"/>
        <v>1.455352632633622E-3</v>
      </c>
      <c r="L638" s="4">
        <f t="shared" si="147"/>
        <v>1.455352632633622E-3</v>
      </c>
      <c r="M638" s="4">
        <f t="shared" si="147"/>
        <v>1.455352632633622E-3</v>
      </c>
      <c r="N638" t="s">
        <v>242</v>
      </c>
      <c r="O638" t="s">
        <v>315</v>
      </c>
      <c r="P638" t="s">
        <v>305</v>
      </c>
      <c r="Q638" t="s">
        <v>245</v>
      </c>
    </row>
    <row r="639" spans="1:17" x14ac:dyDescent="0.25">
      <c r="A639" t="s">
        <v>305</v>
      </c>
      <c r="B639" t="s">
        <v>177</v>
      </c>
      <c r="C639" s="4">
        <f t="shared" ref="C639:M639" si="148">(0.0904226503711535 / ( 0.0260899569876454 + 0.0904226503711535 + 0.00131543821211861))*0.657269601482717%</f>
        <v>5.0439654741356596E-3</v>
      </c>
      <c r="D639" s="4">
        <f t="shared" si="148"/>
        <v>5.0439654741356596E-3</v>
      </c>
      <c r="E639" s="4">
        <f t="shared" si="148"/>
        <v>5.0439654741356596E-3</v>
      </c>
      <c r="F639" s="4">
        <f t="shared" si="148"/>
        <v>5.0439654741356596E-3</v>
      </c>
      <c r="G639" s="4">
        <f t="shared" si="148"/>
        <v>5.0439654741356596E-3</v>
      </c>
      <c r="H639" s="4">
        <f t="shared" si="148"/>
        <v>5.0439654741356596E-3</v>
      </c>
      <c r="I639" s="4">
        <f t="shared" si="148"/>
        <v>5.0439654741356596E-3</v>
      </c>
      <c r="J639" s="4">
        <f t="shared" si="148"/>
        <v>5.0439654741356596E-3</v>
      </c>
      <c r="K639" s="4">
        <f t="shared" si="148"/>
        <v>5.0439654741356596E-3</v>
      </c>
      <c r="L639" s="4">
        <f t="shared" si="148"/>
        <v>5.0439654741356596E-3</v>
      </c>
      <c r="M639" s="4">
        <f t="shared" si="148"/>
        <v>5.0439654741356596E-3</v>
      </c>
      <c r="N639" t="s">
        <v>242</v>
      </c>
      <c r="O639" t="s">
        <v>316</v>
      </c>
      <c r="P639" t="s">
        <v>305</v>
      </c>
      <c r="Q639" t="s">
        <v>245</v>
      </c>
    </row>
    <row r="640" spans="1:17" x14ac:dyDescent="0.25">
      <c r="A640" t="s">
        <v>305</v>
      </c>
      <c r="B640" t="s">
        <v>177</v>
      </c>
      <c r="C640" s="4">
        <f t="shared" ref="C640:M640" si="149">(0.00131543821211861 / ( 0.0260899569876454 + 0.0904226503711535 + 0.00131543821211861))*0.657269601482717%</f>
        <v>7.3377908057887495E-5</v>
      </c>
      <c r="D640" s="4">
        <f t="shared" si="149"/>
        <v>7.3377908057887495E-5</v>
      </c>
      <c r="E640" s="4">
        <f t="shared" si="149"/>
        <v>7.3377908057887495E-5</v>
      </c>
      <c r="F640" s="4">
        <f t="shared" si="149"/>
        <v>7.3377908057887495E-5</v>
      </c>
      <c r="G640" s="4">
        <f t="shared" si="149"/>
        <v>7.3377908057887495E-5</v>
      </c>
      <c r="H640" s="4">
        <f t="shared" si="149"/>
        <v>7.3377908057887495E-5</v>
      </c>
      <c r="I640" s="4">
        <f t="shared" si="149"/>
        <v>7.3377908057887495E-5</v>
      </c>
      <c r="J640" s="4">
        <f t="shared" si="149"/>
        <v>7.3377908057887495E-5</v>
      </c>
      <c r="K640" s="4">
        <f t="shared" si="149"/>
        <v>7.3377908057887495E-5</v>
      </c>
      <c r="L640" s="4">
        <f t="shared" si="149"/>
        <v>7.3377908057887495E-5</v>
      </c>
      <c r="M640" s="4">
        <f t="shared" si="149"/>
        <v>7.3377908057887495E-5</v>
      </c>
      <c r="N640" t="s">
        <v>242</v>
      </c>
      <c r="O640" t="s">
        <v>317</v>
      </c>
      <c r="P640" t="s">
        <v>305</v>
      </c>
      <c r="Q640" t="s">
        <v>245</v>
      </c>
    </row>
    <row r="641" spans="1:17" x14ac:dyDescent="0.25">
      <c r="A641" t="s">
        <v>305</v>
      </c>
      <c r="B641" t="s">
        <v>155</v>
      </c>
      <c r="C641" s="4">
        <f t="shared" ref="C641:M641" si="150">(0.0260899569876454 / ( 0.0260899569876454 + 0.0904226503711535 + 0.00131543821211861))*0.429325534950154%</f>
        <v>9.5062976613710702E-4</v>
      </c>
      <c r="D641" s="4">
        <f t="shared" si="150"/>
        <v>9.5062976613710702E-4</v>
      </c>
      <c r="E641" s="4">
        <f t="shared" si="150"/>
        <v>9.5062976613710702E-4</v>
      </c>
      <c r="F641" s="4">
        <f t="shared" si="150"/>
        <v>9.5062976613710702E-4</v>
      </c>
      <c r="G641" s="4">
        <f t="shared" si="150"/>
        <v>9.5062976613710702E-4</v>
      </c>
      <c r="H641" s="4">
        <f t="shared" si="150"/>
        <v>9.5062976613710702E-4</v>
      </c>
      <c r="I641" s="4">
        <f t="shared" si="150"/>
        <v>9.5062976613710702E-4</v>
      </c>
      <c r="J641" s="4">
        <f t="shared" si="150"/>
        <v>9.5062976613710702E-4</v>
      </c>
      <c r="K641" s="4">
        <f t="shared" si="150"/>
        <v>9.5062976613710702E-4</v>
      </c>
      <c r="L641" s="4">
        <f t="shared" si="150"/>
        <v>9.5062976613710702E-4</v>
      </c>
      <c r="M641" s="4">
        <f t="shared" si="150"/>
        <v>9.5062976613710702E-4</v>
      </c>
      <c r="N641" t="s">
        <v>242</v>
      </c>
      <c r="O641" t="s">
        <v>315</v>
      </c>
      <c r="P641" t="s">
        <v>305</v>
      </c>
      <c r="Q641" t="s">
        <v>245</v>
      </c>
    </row>
    <row r="642" spans="1:17" x14ac:dyDescent="0.25">
      <c r="A642" t="s">
        <v>305</v>
      </c>
      <c r="B642" t="s">
        <v>155</v>
      </c>
      <c r="C642" s="4">
        <f t="shared" ref="C642:M642" si="151">(0.0904226503711535 / ( 0.0260899569876454 + 0.0904226503711535 + 0.00131543821211861))*0.429325534950154%</f>
        <v>3.2946954652524601E-3</v>
      </c>
      <c r="D642" s="4">
        <f t="shared" si="151"/>
        <v>3.2946954652524601E-3</v>
      </c>
      <c r="E642" s="4">
        <f t="shared" si="151"/>
        <v>3.2946954652524601E-3</v>
      </c>
      <c r="F642" s="4">
        <f t="shared" si="151"/>
        <v>3.2946954652524601E-3</v>
      </c>
      <c r="G642" s="4">
        <f t="shared" si="151"/>
        <v>3.2946954652524601E-3</v>
      </c>
      <c r="H642" s="4">
        <f t="shared" si="151"/>
        <v>3.2946954652524601E-3</v>
      </c>
      <c r="I642" s="4">
        <f t="shared" si="151"/>
        <v>3.2946954652524601E-3</v>
      </c>
      <c r="J642" s="4">
        <f t="shared" si="151"/>
        <v>3.2946954652524601E-3</v>
      </c>
      <c r="K642" s="4">
        <f t="shared" si="151"/>
        <v>3.2946954652524601E-3</v>
      </c>
      <c r="L642" s="4">
        <f t="shared" si="151"/>
        <v>3.2946954652524601E-3</v>
      </c>
      <c r="M642" s="4">
        <f t="shared" si="151"/>
        <v>3.2946954652524601E-3</v>
      </c>
      <c r="N642" t="s">
        <v>242</v>
      </c>
      <c r="O642" t="s">
        <v>316</v>
      </c>
      <c r="P642" t="s">
        <v>305</v>
      </c>
      <c r="Q642" t="s">
        <v>245</v>
      </c>
    </row>
    <row r="643" spans="1:17" x14ac:dyDescent="0.25">
      <c r="A643" t="s">
        <v>305</v>
      </c>
      <c r="B643" t="s">
        <v>155</v>
      </c>
      <c r="C643" s="4">
        <f t="shared" ref="C643:M643" si="152">(0.00131543821211861 / ( 0.0260899569876454 + 0.0904226503711535 + 0.00131543821211861))*0.429325534950154%</f>
        <v>4.7930118111972571E-5</v>
      </c>
      <c r="D643" s="4">
        <f t="shared" si="152"/>
        <v>4.7930118111972571E-5</v>
      </c>
      <c r="E643" s="4">
        <f t="shared" si="152"/>
        <v>4.7930118111972571E-5</v>
      </c>
      <c r="F643" s="4">
        <f t="shared" si="152"/>
        <v>4.7930118111972571E-5</v>
      </c>
      <c r="G643" s="4">
        <f t="shared" si="152"/>
        <v>4.7930118111972571E-5</v>
      </c>
      <c r="H643" s="4">
        <f t="shared" si="152"/>
        <v>4.7930118111972571E-5</v>
      </c>
      <c r="I643" s="4">
        <f t="shared" si="152"/>
        <v>4.7930118111972571E-5</v>
      </c>
      <c r="J643" s="4">
        <f t="shared" si="152"/>
        <v>4.7930118111972571E-5</v>
      </c>
      <c r="K643" s="4">
        <f t="shared" si="152"/>
        <v>4.7930118111972571E-5</v>
      </c>
      <c r="L643" s="4">
        <f t="shared" si="152"/>
        <v>4.7930118111972571E-5</v>
      </c>
      <c r="M643" s="4">
        <f t="shared" si="152"/>
        <v>4.7930118111972571E-5</v>
      </c>
      <c r="N643" t="s">
        <v>242</v>
      </c>
      <c r="O643" t="s">
        <v>317</v>
      </c>
      <c r="P643" t="s">
        <v>305</v>
      </c>
      <c r="Q643" t="s">
        <v>245</v>
      </c>
    </row>
    <row r="644" spans="1:17" x14ac:dyDescent="0.25">
      <c r="A644" t="s">
        <v>305</v>
      </c>
      <c r="B644" t="s">
        <v>146</v>
      </c>
      <c r="C644" s="4">
        <f t="shared" ref="C644:M644" si="153">(0.0260899569876454 / ( 0.0260899569876454 + 0.0904226503711535 + 0.00131543821211861))*11.3263508343259%</f>
        <v>2.5079258903321831E-2</v>
      </c>
      <c r="D644" s="4">
        <f t="shared" si="153"/>
        <v>2.5079258903321831E-2</v>
      </c>
      <c r="E644" s="4">
        <f t="shared" si="153"/>
        <v>2.5079258903321831E-2</v>
      </c>
      <c r="F644" s="4">
        <f t="shared" si="153"/>
        <v>2.5079258903321831E-2</v>
      </c>
      <c r="G644" s="4">
        <f t="shared" si="153"/>
        <v>2.5079258903321831E-2</v>
      </c>
      <c r="H644" s="4">
        <f t="shared" si="153"/>
        <v>2.5079258903321831E-2</v>
      </c>
      <c r="I644" s="4">
        <f t="shared" si="153"/>
        <v>2.5079258903321831E-2</v>
      </c>
      <c r="J644" s="4">
        <f t="shared" si="153"/>
        <v>2.5079258903321831E-2</v>
      </c>
      <c r="K644" s="4">
        <f t="shared" si="153"/>
        <v>2.5079258903321831E-2</v>
      </c>
      <c r="L644" s="4">
        <f t="shared" si="153"/>
        <v>2.5079258903321831E-2</v>
      </c>
      <c r="M644" s="4">
        <f t="shared" si="153"/>
        <v>2.5079258903321831E-2</v>
      </c>
      <c r="N644" t="s">
        <v>242</v>
      </c>
      <c r="O644" t="s">
        <v>315</v>
      </c>
      <c r="P644" t="s">
        <v>305</v>
      </c>
      <c r="Q644" t="s">
        <v>245</v>
      </c>
    </row>
    <row r="645" spans="1:17" x14ac:dyDescent="0.25">
      <c r="A645" t="s">
        <v>305</v>
      </c>
      <c r="B645" t="s">
        <v>146</v>
      </c>
      <c r="C645" s="4">
        <f t="shared" ref="C645:M645" si="154">(0.0904226503711535 / ( 0.0260899569876454 + 0.0904226503711535 + 0.00131543821211861))*11.3263508343259%</f>
        <v>8.6919769950428327E-2</v>
      </c>
      <c r="D645" s="4">
        <f t="shared" si="154"/>
        <v>8.6919769950428327E-2</v>
      </c>
      <c r="E645" s="4">
        <f t="shared" si="154"/>
        <v>8.6919769950428327E-2</v>
      </c>
      <c r="F645" s="4">
        <f t="shared" si="154"/>
        <v>8.6919769950428327E-2</v>
      </c>
      <c r="G645" s="4">
        <f t="shared" si="154"/>
        <v>8.6919769950428327E-2</v>
      </c>
      <c r="H645" s="4">
        <f t="shared" si="154"/>
        <v>8.6919769950428327E-2</v>
      </c>
      <c r="I645" s="4">
        <f t="shared" si="154"/>
        <v>8.6919769950428327E-2</v>
      </c>
      <c r="J645" s="4">
        <f t="shared" si="154"/>
        <v>8.6919769950428327E-2</v>
      </c>
      <c r="K645" s="4">
        <f t="shared" si="154"/>
        <v>8.6919769950428327E-2</v>
      </c>
      <c r="L645" s="4">
        <f t="shared" si="154"/>
        <v>8.6919769950428327E-2</v>
      </c>
      <c r="M645" s="4">
        <f t="shared" si="154"/>
        <v>8.6919769950428327E-2</v>
      </c>
      <c r="N645" t="s">
        <v>242</v>
      </c>
      <c r="O645" t="s">
        <v>316</v>
      </c>
      <c r="P645" t="s">
        <v>305</v>
      </c>
      <c r="Q645" t="s">
        <v>245</v>
      </c>
    </row>
    <row r="646" spans="1:17" x14ac:dyDescent="0.25">
      <c r="A646" t="s">
        <v>305</v>
      </c>
      <c r="B646" t="s">
        <v>146</v>
      </c>
      <c r="C646" s="4">
        <f t="shared" ref="C646:M646" si="155">(0.00131543821211861 / ( 0.0260899569876454 + 0.0904226503711535 + 0.00131543821211861))*11.3263508343259%</f>
        <v>1.264479489508838E-3</v>
      </c>
      <c r="D646" s="4">
        <f t="shared" si="155"/>
        <v>1.264479489508838E-3</v>
      </c>
      <c r="E646" s="4">
        <f t="shared" si="155"/>
        <v>1.264479489508838E-3</v>
      </c>
      <c r="F646" s="4">
        <f t="shared" si="155"/>
        <v>1.264479489508838E-3</v>
      </c>
      <c r="G646" s="4">
        <f t="shared" si="155"/>
        <v>1.264479489508838E-3</v>
      </c>
      <c r="H646" s="4">
        <f t="shared" si="155"/>
        <v>1.264479489508838E-3</v>
      </c>
      <c r="I646" s="4">
        <f t="shared" si="155"/>
        <v>1.264479489508838E-3</v>
      </c>
      <c r="J646" s="4">
        <f t="shared" si="155"/>
        <v>1.264479489508838E-3</v>
      </c>
      <c r="K646" s="4">
        <f t="shared" si="155"/>
        <v>1.264479489508838E-3</v>
      </c>
      <c r="L646" s="4">
        <f t="shared" si="155"/>
        <v>1.264479489508838E-3</v>
      </c>
      <c r="M646" s="4">
        <f t="shared" si="155"/>
        <v>1.264479489508838E-3</v>
      </c>
      <c r="N646" t="s">
        <v>242</v>
      </c>
      <c r="O646" t="s">
        <v>317</v>
      </c>
      <c r="P646" t="s">
        <v>305</v>
      </c>
      <c r="Q646" t="s">
        <v>245</v>
      </c>
    </row>
    <row r="647" spans="1:17" x14ac:dyDescent="0.25">
      <c r="A647" t="s">
        <v>305</v>
      </c>
      <c r="B647" t="s">
        <v>156</v>
      </c>
      <c r="C647" s="4">
        <f t="shared" ref="C647:M647" si="156">(0.0260899569876454 / ( 0.0260899569876454 + 0.0904226503711535 + 0.00131543821211861))*0.309810178412085%</f>
        <v>6.8599408484978615E-4</v>
      </c>
      <c r="D647" s="4">
        <f t="shared" si="156"/>
        <v>6.8599408484978615E-4</v>
      </c>
      <c r="E647" s="4">
        <f t="shared" si="156"/>
        <v>6.8599408484978615E-4</v>
      </c>
      <c r="F647" s="4">
        <f t="shared" si="156"/>
        <v>6.8599408484978615E-4</v>
      </c>
      <c r="G647" s="4">
        <f t="shared" si="156"/>
        <v>6.8599408484978615E-4</v>
      </c>
      <c r="H647" s="4">
        <f t="shared" si="156"/>
        <v>6.8599408484978615E-4</v>
      </c>
      <c r="I647" s="4">
        <f t="shared" si="156"/>
        <v>6.8599408484978615E-4</v>
      </c>
      <c r="J647" s="4">
        <f t="shared" si="156"/>
        <v>6.8599408484978615E-4</v>
      </c>
      <c r="K647" s="4">
        <f t="shared" si="156"/>
        <v>6.8599408484978615E-4</v>
      </c>
      <c r="L647" s="4">
        <f t="shared" si="156"/>
        <v>6.8599408484978615E-4</v>
      </c>
      <c r="M647" s="4">
        <f t="shared" si="156"/>
        <v>6.8599408484978615E-4</v>
      </c>
      <c r="N647" t="s">
        <v>242</v>
      </c>
      <c r="O647" t="s">
        <v>315</v>
      </c>
      <c r="P647" t="s">
        <v>305</v>
      </c>
      <c r="Q647" t="s">
        <v>245</v>
      </c>
    </row>
    <row r="648" spans="1:17" x14ac:dyDescent="0.25">
      <c r="A648" t="s">
        <v>305</v>
      </c>
      <c r="B648" t="s">
        <v>156</v>
      </c>
      <c r="C648" s="4">
        <f t="shared" ref="C648:M648" si="157">(0.0904226503711535 / ( 0.0260899569876454 + 0.0904226503711535 + 0.00131543821211861))*0.309810178412085%</f>
        <v>2.3775203355231641E-3</v>
      </c>
      <c r="D648" s="4">
        <f t="shared" si="157"/>
        <v>2.3775203355231641E-3</v>
      </c>
      <c r="E648" s="4">
        <f t="shared" si="157"/>
        <v>2.3775203355231641E-3</v>
      </c>
      <c r="F648" s="4">
        <f t="shared" si="157"/>
        <v>2.3775203355231641E-3</v>
      </c>
      <c r="G648" s="4">
        <f t="shared" si="157"/>
        <v>2.3775203355231641E-3</v>
      </c>
      <c r="H648" s="4">
        <f t="shared" si="157"/>
        <v>2.3775203355231641E-3</v>
      </c>
      <c r="I648" s="4">
        <f t="shared" si="157"/>
        <v>2.3775203355231641E-3</v>
      </c>
      <c r="J648" s="4">
        <f t="shared" si="157"/>
        <v>2.3775203355231641E-3</v>
      </c>
      <c r="K648" s="4">
        <f t="shared" si="157"/>
        <v>2.3775203355231641E-3</v>
      </c>
      <c r="L648" s="4">
        <f t="shared" si="157"/>
        <v>2.3775203355231641E-3</v>
      </c>
      <c r="M648" s="4">
        <f t="shared" si="157"/>
        <v>2.3775203355231641E-3</v>
      </c>
      <c r="N648" t="s">
        <v>242</v>
      </c>
      <c r="O648" t="s">
        <v>316</v>
      </c>
      <c r="P648" t="s">
        <v>305</v>
      </c>
      <c r="Q648" t="s">
        <v>245</v>
      </c>
    </row>
    <row r="649" spans="1:17" x14ac:dyDescent="0.25">
      <c r="A649" t="s">
        <v>305</v>
      </c>
      <c r="B649" t="s">
        <v>156</v>
      </c>
      <c r="C649" s="4">
        <f t="shared" ref="C649:M649" si="158">(0.00131543821211861 / ( 0.0260899569876454 + 0.0904226503711535 + 0.00131543821211861))*0.309810178412085%</f>
        <v>3.458736374789953E-5</v>
      </c>
      <c r="D649" s="4">
        <f t="shared" si="158"/>
        <v>3.458736374789953E-5</v>
      </c>
      <c r="E649" s="4">
        <f t="shared" si="158"/>
        <v>3.458736374789953E-5</v>
      </c>
      <c r="F649" s="4">
        <f t="shared" si="158"/>
        <v>3.458736374789953E-5</v>
      </c>
      <c r="G649" s="4">
        <f t="shared" si="158"/>
        <v>3.458736374789953E-5</v>
      </c>
      <c r="H649" s="4">
        <f t="shared" si="158"/>
        <v>3.458736374789953E-5</v>
      </c>
      <c r="I649" s="4">
        <f t="shared" si="158"/>
        <v>3.458736374789953E-5</v>
      </c>
      <c r="J649" s="4">
        <f t="shared" si="158"/>
        <v>3.458736374789953E-5</v>
      </c>
      <c r="K649" s="4">
        <f t="shared" si="158"/>
        <v>3.458736374789953E-5</v>
      </c>
      <c r="L649" s="4">
        <f t="shared" si="158"/>
        <v>3.458736374789953E-5</v>
      </c>
      <c r="M649" s="4">
        <f t="shared" si="158"/>
        <v>3.458736374789953E-5</v>
      </c>
      <c r="N649" t="s">
        <v>242</v>
      </c>
      <c r="O649" t="s">
        <v>317</v>
      </c>
      <c r="P649" t="s">
        <v>305</v>
      </c>
      <c r="Q649" t="s">
        <v>245</v>
      </c>
    </row>
    <row r="650" spans="1:17" x14ac:dyDescent="0.25">
      <c r="A650" t="s">
        <v>305</v>
      </c>
      <c r="B650" t="s">
        <v>151</v>
      </c>
      <c r="C650" s="4">
        <f t="shared" ref="C650:M650" si="159">(0.0260899569876454 / ( 0.0260899569876454 + 0.0904226503711535 + 0.00131543821211861))*2.07002623061368%</f>
        <v>4.5835348501561428E-3</v>
      </c>
      <c r="D650" s="4">
        <f t="shared" si="159"/>
        <v>4.5835348501561428E-3</v>
      </c>
      <c r="E650" s="4">
        <f t="shared" si="159"/>
        <v>4.5835348501561428E-3</v>
      </c>
      <c r="F650" s="4">
        <f t="shared" si="159"/>
        <v>4.5835348501561428E-3</v>
      </c>
      <c r="G650" s="4">
        <f t="shared" si="159"/>
        <v>4.5835348501561428E-3</v>
      </c>
      <c r="H650" s="4">
        <f t="shared" si="159"/>
        <v>4.5835348501561428E-3</v>
      </c>
      <c r="I650" s="4">
        <f t="shared" si="159"/>
        <v>4.5835348501561428E-3</v>
      </c>
      <c r="J650" s="4">
        <f t="shared" si="159"/>
        <v>4.5835348501561428E-3</v>
      </c>
      <c r="K650" s="4">
        <f t="shared" si="159"/>
        <v>4.5835348501561428E-3</v>
      </c>
      <c r="L650" s="4">
        <f t="shared" si="159"/>
        <v>4.5835348501561428E-3</v>
      </c>
      <c r="M650" s="4">
        <f t="shared" si="159"/>
        <v>4.5835348501561428E-3</v>
      </c>
      <c r="N650" t="s">
        <v>242</v>
      </c>
      <c r="O650" t="s">
        <v>315</v>
      </c>
      <c r="P650" t="s">
        <v>305</v>
      </c>
      <c r="Q650" t="s">
        <v>245</v>
      </c>
    </row>
    <row r="651" spans="1:17" x14ac:dyDescent="0.25">
      <c r="A651" t="s">
        <v>305</v>
      </c>
      <c r="B651" t="s">
        <v>151</v>
      </c>
      <c r="C651" s="4">
        <f t="shared" ref="C651:M651" si="160">(0.0904226503711535 / ( 0.0260899569876454 + 0.0904226503711535 + 0.00131543821211861))*2.07002623061368%</f>
        <v>1.5885628689074761E-2</v>
      </c>
      <c r="D651" s="4">
        <f t="shared" si="160"/>
        <v>1.5885628689074761E-2</v>
      </c>
      <c r="E651" s="4">
        <f t="shared" si="160"/>
        <v>1.5885628689074761E-2</v>
      </c>
      <c r="F651" s="4">
        <f t="shared" si="160"/>
        <v>1.5885628689074761E-2</v>
      </c>
      <c r="G651" s="4">
        <f t="shared" si="160"/>
        <v>1.5885628689074761E-2</v>
      </c>
      <c r="H651" s="4">
        <f t="shared" si="160"/>
        <v>1.5885628689074761E-2</v>
      </c>
      <c r="I651" s="4">
        <f t="shared" si="160"/>
        <v>1.5885628689074761E-2</v>
      </c>
      <c r="J651" s="4">
        <f t="shared" si="160"/>
        <v>1.5885628689074761E-2</v>
      </c>
      <c r="K651" s="4">
        <f t="shared" si="160"/>
        <v>1.5885628689074761E-2</v>
      </c>
      <c r="L651" s="4">
        <f t="shared" si="160"/>
        <v>1.5885628689074761E-2</v>
      </c>
      <c r="M651" s="4">
        <f t="shared" si="160"/>
        <v>1.5885628689074761E-2</v>
      </c>
      <c r="N651" t="s">
        <v>242</v>
      </c>
      <c r="O651" t="s">
        <v>316</v>
      </c>
      <c r="P651" t="s">
        <v>305</v>
      </c>
      <c r="Q651" t="s">
        <v>245</v>
      </c>
    </row>
    <row r="652" spans="1:17" x14ac:dyDescent="0.25">
      <c r="A652" t="s">
        <v>305</v>
      </c>
      <c r="B652" t="s">
        <v>151</v>
      </c>
      <c r="C652" s="4">
        <f t="shared" ref="C652:M652" si="161">(0.00131543821211861 / ( 0.0260899569876454 + 0.0904226503711535 + 0.00131543821211861))*2.07002623061368%</f>
        <v>2.3109876690589675E-4</v>
      </c>
      <c r="D652" s="4">
        <f t="shared" si="161"/>
        <v>2.3109876690589675E-4</v>
      </c>
      <c r="E652" s="4">
        <f t="shared" si="161"/>
        <v>2.3109876690589675E-4</v>
      </c>
      <c r="F652" s="4">
        <f t="shared" si="161"/>
        <v>2.3109876690589675E-4</v>
      </c>
      <c r="G652" s="4">
        <f t="shared" si="161"/>
        <v>2.3109876690589675E-4</v>
      </c>
      <c r="H652" s="4">
        <f t="shared" si="161"/>
        <v>2.3109876690589675E-4</v>
      </c>
      <c r="I652" s="4">
        <f t="shared" si="161"/>
        <v>2.3109876690589675E-4</v>
      </c>
      <c r="J652" s="4">
        <f t="shared" si="161"/>
        <v>2.3109876690589675E-4</v>
      </c>
      <c r="K652" s="4">
        <f t="shared" si="161"/>
        <v>2.3109876690589675E-4</v>
      </c>
      <c r="L652" s="4">
        <f t="shared" si="161"/>
        <v>2.3109876690589675E-4</v>
      </c>
      <c r="M652" s="4">
        <f t="shared" si="161"/>
        <v>2.3109876690589675E-4</v>
      </c>
      <c r="N652" t="s">
        <v>242</v>
      </c>
      <c r="O652" t="s">
        <v>317</v>
      </c>
      <c r="P652" t="s">
        <v>305</v>
      </c>
      <c r="Q652" t="s">
        <v>245</v>
      </c>
    </row>
    <row r="653" spans="1:17" x14ac:dyDescent="0.25">
      <c r="A653" t="s">
        <v>305</v>
      </c>
      <c r="B653" t="s">
        <v>178</v>
      </c>
      <c r="C653" s="4">
        <f t="shared" ref="C653:M653" si="162">(0.0260899569876454 / ( 0.0260899569876454 + 0.0904226503711535 + 0.00131543821211861))*0.215623648610765%</f>
        <v>4.7744250450018042E-4</v>
      </c>
      <c r="D653" s="4">
        <f t="shared" si="162"/>
        <v>4.7744250450018042E-4</v>
      </c>
      <c r="E653" s="4">
        <f t="shared" si="162"/>
        <v>4.7744250450018042E-4</v>
      </c>
      <c r="F653" s="4">
        <f t="shared" si="162"/>
        <v>4.7744250450018042E-4</v>
      </c>
      <c r="G653" s="4">
        <f t="shared" si="162"/>
        <v>4.7744250450018042E-4</v>
      </c>
      <c r="H653" s="4">
        <f t="shared" si="162"/>
        <v>4.7744250450018042E-4</v>
      </c>
      <c r="I653" s="4">
        <f t="shared" si="162"/>
        <v>4.7744250450018042E-4</v>
      </c>
      <c r="J653" s="4">
        <f t="shared" si="162"/>
        <v>4.7744250450018042E-4</v>
      </c>
      <c r="K653" s="4">
        <f t="shared" si="162"/>
        <v>4.7744250450018042E-4</v>
      </c>
      <c r="L653" s="4">
        <f t="shared" si="162"/>
        <v>4.7744250450018042E-4</v>
      </c>
      <c r="M653" s="4">
        <f t="shared" si="162"/>
        <v>4.7744250450018042E-4</v>
      </c>
      <c r="N653" t="s">
        <v>242</v>
      </c>
      <c r="O653" t="s">
        <v>315</v>
      </c>
      <c r="P653" t="s">
        <v>305</v>
      </c>
      <c r="Q653" t="s">
        <v>245</v>
      </c>
    </row>
    <row r="654" spans="1:17" x14ac:dyDescent="0.25">
      <c r="A654" t="s">
        <v>305</v>
      </c>
      <c r="B654" t="s">
        <v>178</v>
      </c>
      <c r="C654" s="4">
        <f t="shared" ref="C654:M654" si="163">(0.0904226503711535 / ( 0.0260899569876454 + 0.0904226503711535 + 0.00131543821211861))*0.215623648610765%</f>
        <v>1.6547216492994266E-3</v>
      </c>
      <c r="D654" s="4">
        <f t="shared" si="163"/>
        <v>1.6547216492994266E-3</v>
      </c>
      <c r="E654" s="4">
        <f t="shared" si="163"/>
        <v>1.6547216492994266E-3</v>
      </c>
      <c r="F654" s="4">
        <f t="shared" si="163"/>
        <v>1.6547216492994266E-3</v>
      </c>
      <c r="G654" s="4">
        <f t="shared" si="163"/>
        <v>1.6547216492994266E-3</v>
      </c>
      <c r="H654" s="4">
        <f t="shared" si="163"/>
        <v>1.6547216492994266E-3</v>
      </c>
      <c r="I654" s="4">
        <f t="shared" si="163"/>
        <v>1.6547216492994266E-3</v>
      </c>
      <c r="J654" s="4">
        <f t="shared" si="163"/>
        <v>1.6547216492994266E-3</v>
      </c>
      <c r="K654" s="4">
        <f t="shared" si="163"/>
        <v>1.6547216492994266E-3</v>
      </c>
      <c r="L654" s="4">
        <f t="shared" si="163"/>
        <v>1.6547216492994266E-3</v>
      </c>
      <c r="M654" s="4">
        <f t="shared" si="163"/>
        <v>1.6547216492994266E-3</v>
      </c>
      <c r="N654" t="s">
        <v>242</v>
      </c>
      <c r="O654" t="s">
        <v>316</v>
      </c>
      <c r="P654" t="s">
        <v>305</v>
      </c>
      <c r="Q654" t="s">
        <v>245</v>
      </c>
    </row>
    <row r="655" spans="1:17" x14ac:dyDescent="0.25">
      <c r="A655" t="s">
        <v>305</v>
      </c>
      <c r="B655" t="s">
        <v>178</v>
      </c>
      <c r="C655" s="4">
        <f t="shared" ref="C655:M655" si="164">(0.00131543821211861 / ( 0.0260899569876454 + 0.0904226503711535 + 0.00131543821211861))*0.215623648610765%</f>
        <v>2.4072332308043004E-5</v>
      </c>
      <c r="D655" s="4">
        <f t="shared" si="164"/>
        <v>2.4072332308043004E-5</v>
      </c>
      <c r="E655" s="4">
        <f t="shared" si="164"/>
        <v>2.4072332308043004E-5</v>
      </c>
      <c r="F655" s="4">
        <f t="shared" si="164"/>
        <v>2.4072332308043004E-5</v>
      </c>
      <c r="G655" s="4">
        <f t="shared" si="164"/>
        <v>2.4072332308043004E-5</v>
      </c>
      <c r="H655" s="4">
        <f t="shared" si="164"/>
        <v>2.4072332308043004E-5</v>
      </c>
      <c r="I655" s="4">
        <f t="shared" si="164"/>
        <v>2.4072332308043004E-5</v>
      </c>
      <c r="J655" s="4">
        <f t="shared" si="164"/>
        <v>2.4072332308043004E-5</v>
      </c>
      <c r="K655" s="4">
        <f t="shared" si="164"/>
        <v>2.4072332308043004E-5</v>
      </c>
      <c r="L655" s="4">
        <f t="shared" si="164"/>
        <v>2.4072332308043004E-5</v>
      </c>
      <c r="M655" s="4">
        <f t="shared" si="164"/>
        <v>2.4072332308043004E-5</v>
      </c>
      <c r="N655" t="s">
        <v>242</v>
      </c>
      <c r="O655" t="s">
        <v>317</v>
      </c>
      <c r="P655" t="s">
        <v>305</v>
      </c>
      <c r="Q655" t="s">
        <v>245</v>
      </c>
    </row>
    <row r="656" spans="1:17" x14ac:dyDescent="0.25">
      <c r="A656" t="s">
        <v>305</v>
      </c>
      <c r="B656" t="s">
        <v>120</v>
      </c>
      <c r="C656" s="4">
        <f t="shared" ref="C656:M656" si="165">(0.0260899569876454 / ( 0.0260899569876454 + 0.0904226503711535 + 0.00131543821211861))*0.0418194687874338%</f>
        <v>9.2598339947312701E-5</v>
      </c>
      <c r="D656" s="4">
        <f t="shared" si="165"/>
        <v>9.2598339947312701E-5</v>
      </c>
      <c r="E656" s="4">
        <f t="shared" si="165"/>
        <v>9.2598339947312701E-5</v>
      </c>
      <c r="F656" s="4">
        <f t="shared" si="165"/>
        <v>9.2598339947312701E-5</v>
      </c>
      <c r="G656" s="4">
        <f t="shared" si="165"/>
        <v>9.2598339947312701E-5</v>
      </c>
      <c r="H656" s="4">
        <f t="shared" si="165"/>
        <v>9.2598339947312701E-5</v>
      </c>
      <c r="I656" s="4">
        <f t="shared" si="165"/>
        <v>9.2598339947312701E-5</v>
      </c>
      <c r="J656" s="4">
        <f t="shared" si="165"/>
        <v>9.2598339947312701E-5</v>
      </c>
      <c r="K656" s="4">
        <f t="shared" si="165"/>
        <v>9.2598339947312701E-5</v>
      </c>
      <c r="L656" s="4">
        <f t="shared" si="165"/>
        <v>9.2598339947312701E-5</v>
      </c>
      <c r="M656" s="4">
        <f t="shared" si="165"/>
        <v>9.2598339947312701E-5</v>
      </c>
      <c r="N656" t="s">
        <v>242</v>
      </c>
      <c r="O656" t="s">
        <v>315</v>
      </c>
      <c r="P656" t="s">
        <v>305</v>
      </c>
      <c r="Q656" t="s">
        <v>245</v>
      </c>
    </row>
    <row r="657" spans="1:17" x14ac:dyDescent="0.25">
      <c r="A657" t="s">
        <v>305</v>
      </c>
      <c r="B657" t="s">
        <v>120</v>
      </c>
      <c r="C657" s="4">
        <f t="shared" ref="C657:M657" si="166">(0.0904226503711535 / ( 0.0260899569876454 + 0.0904226503711535 + 0.00131543821211861))*0.0418194687874338%</f>
        <v>3.2092760145101056E-4</v>
      </c>
      <c r="D657" s="4">
        <f t="shared" si="166"/>
        <v>3.2092760145101056E-4</v>
      </c>
      <c r="E657" s="4">
        <f t="shared" si="166"/>
        <v>3.2092760145101056E-4</v>
      </c>
      <c r="F657" s="4">
        <f t="shared" si="166"/>
        <v>3.2092760145101056E-4</v>
      </c>
      <c r="G657" s="4">
        <f t="shared" si="166"/>
        <v>3.2092760145101056E-4</v>
      </c>
      <c r="H657" s="4">
        <f t="shared" si="166"/>
        <v>3.2092760145101056E-4</v>
      </c>
      <c r="I657" s="4">
        <f t="shared" si="166"/>
        <v>3.2092760145101056E-4</v>
      </c>
      <c r="J657" s="4">
        <f t="shared" si="166"/>
        <v>3.2092760145101056E-4</v>
      </c>
      <c r="K657" s="4">
        <f t="shared" si="166"/>
        <v>3.2092760145101056E-4</v>
      </c>
      <c r="L657" s="4">
        <f t="shared" si="166"/>
        <v>3.2092760145101056E-4</v>
      </c>
      <c r="M657" s="4">
        <f t="shared" si="166"/>
        <v>3.2092760145101056E-4</v>
      </c>
      <c r="N657" t="s">
        <v>242</v>
      </c>
      <c r="O657" t="s">
        <v>316</v>
      </c>
      <c r="P657" t="s">
        <v>305</v>
      </c>
      <c r="Q657" t="s">
        <v>245</v>
      </c>
    </row>
    <row r="658" spans="1:17" x14ac:dyDescent="0.25">
      <c r="A658" t="s">
        <v>305</v>
      </c>
      <c r="B658" t="s">
        <v>120</v>
      </c>
      <c r="C658" s="4">
        <f t="shared" ref="C658:M658" si="167">(0.00131543821211861 / ( 0.0260899569876454 + 0.0904226503711535 + 0.00131543821211861))*0.0418194687874338%</f>
        <v>4.6687464760146887E-6</v>
      </c>
      <c r="D658" s="4">
        <f t="shared" si="167"/>
        <v>4.6687464760146887E-6</v>
      </c>
      <c r="E658" s="4">
        <f t="shared" si="167"/>
        <v>4.6687464760146887E-6</v>
      </c>
      <c r="F658" s="4">
        <f t="shared" si="167"/>
        <v>4.6687464760146887E-6</v>
      </c>
      <c r="G658" s="4">
        <f t="shared" si="167"/>
        <v>4.6687464760146887E-6</v>
      </c>
      <c r="H658" s="4">
        <f t="shared" si="167"/>
        <v>4.6687464760146887E-6</v>
      </c>
      <c r="I658" s="4">
        <f t="shared" si="167"/>
        <v>4.6687464760146887E-6</v>
      </c>
      <c r="J658" s="4">
        <f t="shared" si="167"/>
        <v>4.6687464760146887E-6</v>
      </c>
      <c r="K658" s="4">
        <f t="shared" si="167"/>
        <v>4.6687464760146887E-6</v>
      </c>
      <c r="L658" s="4">
        <f t="shared" si="167"/>
        <v>4.6687464760146887E-6</v>
      </c>
      <c r="M658" s="4">
        <f t="shared" si="167"/>
        <v>4.6687464760146887E-6</v>
      </c>
      <c r="N658" t="s">
        <v>242</v>
      </c>
      <c r="O658" t="s">
        <v>317</v>
      </c>
      <c r="P658" t="s">
        <v>305</v>
      </c>
      <c r="Q658" t="s">
        <v>245</v>
      </c>
    </row>
    <row r="659" spans="1:17" x14ac:dyDescent="0.25">
      <c r="A659" t="s">
        <v>305</v>
      </c>
      <c r="B659" t="s">
        <v>107</v>
      </c>
      <c r="C659" s="4">
        <v>4.1011367752319818E-2</v>
      </c>
      <c r="D659" s="4">
        <v>4.1011367752319818E-2</v>
      </c>
      <c r="E659" s="4">
        <v>4.1011367752319818E-2</v>
      </c>
      <c r="F659" s="4">
        <v>4.1011367752319818E-2</v>
      </c>
      <c r="G659" s="4">
        <v>4.1011367752319818E-2</v>
      </c>
      <c r="H659" s="4">
        <v>4.1011367752319818E-2</v>
      </c>
      <c r="I659" s="4">
        <v>4.1011367752319818E-2</v>
      </c>
      <c r="J659" s="4">
        <v>4.1011367752319818E-2</v>
      </c>
      <c r="K659" s="4">
        <v>4.1011367752319818E-2</v>
      </c>
      <c r="L659" s="4">
        <v>4.1011367752319818E-2</v>
      </c>
      <c r="M659" s="4">
        <v>4.1011367752319818E-2</v>
      </c>
      <c r="N659" t="s">
        <v>312</v>
      </c>
      <c r="O659" t="s">
        <v>306</v>
      </c>
      <c r="P659" t="s">
        <v>305</v>
      </c>
      <c r="Q659" t="s">
        <v>245</v>
      </c>
    </row>
    <row r="660" spans="1:17" x14ac:dyDescent="0.25">
      <c r="A660" t="s">
        <v>305</v>
      </c>
      <c r="B660" t="s">
        <v>108</v>
      </c>
      <c r="C660" s="4">
        <f t="shared" ref="C660:M660" si="168">(0.0260899569876454 / ( 0.0260899569876454 + 0.0904226503711535 + 0.00131543821211861))*0.300399308569152%</f>
        <v>6.6515616054842153E-4</v>
      </c>
      <c r="D660" s="4">
        <f t="shared" si="168"/>
        <v>6.6515616054842153E-4</v>
      </c>
      <c r="E660" s="4">
        <f t="shared" si="168"/>
        <v>6.6515616054842153E-4</v>
      </c>
      <c r="F660" s="4">
        <f t="shared" si="168"/>
        <v>6.6515616054842153E-4</v>
      </c>
      <c r="G660" s="4">
        <f t="shared" si="168"/>
        <v>6.6515616054842153E-4</v>
      </c>
      <c r="H660" s="4">
        <f t="shared" si="168"/>
        <v>6.6515616054842153E-4</v>
      </c>
      <c r="I660" s="4">
        <f t="shared" si="168"/>
        <v>6.6515616054842153E-4</v>
      </c>
      <c r="J660" s="4">
        <f t="shared" si="168"/>
        <v>6.6515616054842153E-4</v>
      </c>
      <c r="K660" s="4">
        <f t="shared" si="168"/>
        <v>6.6515616054842153E-4</v>
      </c>
      <c r="L660" s="4">
        <f t="shared" si="168"/>
        <v>6.6515616054842153E-4</v>
      </c>
      <c r="M660" s="4">
        <f t="shared" si="168"/>
        <v>6.6515616054842153E-4</v>
      </c>
      <c r="N660" t="s">
        <v>242</v>
      </c>
      <c r="O660" t="s">
        <v>315</v>
      </c>
      <c r="P660" t="s">
        <v>305</v>
      </c>
      <c r="Q660" t="s">
        <v>245</v>
      </c>
    </row>
    <row r="661" spans="1:17" x14ac:dyDescent="0.25">
      <c r="A661" t="s">
        <v>305</v>
      </c>
      <c r="B661" t="s">
        <v>108</v>
      </c>
      <c r="C661" s="4">
        <f t="shared" ref="C661:M661" si="169">(0.0904226503711535 / ( 0.0260899569876454 + 0.0904226503711535 + 0.00131543821211861))*0.300399308569152%</f>
        <v>2.3053001956258425E-3</v>
      </c>
      <c r="D661" s="4">
        <f t="shared" si="169"/>
        <v>2.3053001956258425E-3</v>
      </c>
      <c r="E661" s="4">
        <f t="shared" si="169"/>
        <v>2.3053001956258425E-3</v>
      </c>
      <c r="F661" s="4">
        <f t="shared" si="169"/>
        <v>2.3053001956258425E-3</v>
      </c>
      <c r="G661" s="4">
        <f t="shared" si="169"/>
        <v>2.3053001956258425E-3</v>
      </c>
      <c r="H661" s="4">
        <f t="shared" si="169"/>
        <v>2.3053001956258425E-3</v>
      </c>
      <c r="I661" s="4">
        <f t="shared" si="169"/>
        <v>2.3053001956258425E-3</v>
      </c>
      <c r="J661" s="4">
        <f t="shared" si="169"/>
        <v>2.3053001956258425E-3</v>
      </c>
      <c r="K661" s="4">
        <f t="shared" si="169"/>
        <v>2.3053001956258425E-3</v>
      </c>
      <c r="L661" s="4">
        <f t="shared" si="169"/>
        <v>2.3053001956258425E-3</v>
      </c>
      <c r="M661" s="4">
        <f t="shared" si="169"/>
        <v>2.3053001956258425E-3</v>
      </c>
      <c r="N661" t="s">
        <v>242</v>
      </c>
      <c r="O661" t="s">
        <v>316</v>
      </c>
      <c r="P661" t="s">
        <v>305</v>
      </c>
      <c r="Q661" t="s">
        <v>245</v>
      </c>
    </row>
    <row r="662" spans="1:17" x14ac:dyDescent="0.25">
      <c r="A662" t="s">
        <v>305</v>
      </c>
      <c r="B662" t="s">
        <v>108</v>
      </c>
      <c r="C662" s="4">
        <f t="shared" ref="C662:M662" si="170">(0.00131543821211861 / ( 0.0260899569876454 + 0.0904226503711535 + 0.00131543821211861))*0.300399308569152%</f>
        <v>3.3536729517255529E-5</v>
      </c>
      <c r="D662" s="4">
        <f t="shared" si="170"/>
        <v>3.3536729517255529E-5</v>
      </c>
      <c r="E662" s="4">
        <f t="shared" si="170"/>
        <v>3.3536729517255529E-5</v>
      </c>
      <c r="F662" s="4">
        <f t="shared" si="170"/>
        <v>3.3536729517255529E-5</v>
      </c>
      <c r="G662" s="4">
        <f t="shared" si="170"/>
        <v>3.3536729517255529E-5</v>
      </c>
      <c r="H662" s="4">
        <f t="shared" si="170"/>
        <v>3.3536729517255529E-5</v>
      </c>
      <c r="I662" s="4">
        <f t="shared" si="170"/>
        <v>3.3536729517255529E-5</v>
      </c>
      <c r="J662" s="4">
        <f t="shared" si="170"/>
        <v>3.3536729517255529E-5</v>
      </c>
      <c r="K662" s="4">
        <f t="shared" si="170"/>
        <v>3.3536729517255529E-5</v>
      </c>
      <c r="L662" s="4">
        <f t="shared" si="170"/>
        <v>3.3536729517255529E-5</v>
      </c>
      <c r="M662" s="4">
        <f t="shared" si="170"/>
        <v>3.3536729517255529E-5</v>
      </c>
      <c r="N662" t="s">
        <v>242</v>
      </c>
      <c r="O662" t="s">
        <v>317</v>
      </c>
      <c r="P662" t="s">
        <v>305</v>
      </c>
      <c r="Q662" t="s">
        <v>245</v>
      </c>
    </row>
    <row r="663" spans="1:17" x14ac:dyDescent="0.25">
      <c r="A663" t="s">
        <v>305</v>
      </c>
      <c r="B663" t="s">
        <v>179</v>
      </c>
      <c r="C663" s="4">
        <f t="shared" ref="C663:M663" si="171">(0.0260899569876454 / ( 0.0260899569876454 + 0.0904226503711535 + 0.00131543821211861))*0.293844177461486%</f>
        <v>6.5064152714185727E-4</v>
      </c>
      <c r="D663" s="4">
        <f t="shared" si="171"/>
        <v>6.5064152714185727E-4</v>
      </c>
      <c r="E663" s="4">
        <f t="shared" si="171"/>
        <v>6.5064152714185727E-4</v>
      </c>
      <c r="F663" s="4">
        <f t="shared" si="171"/>
        <v>6.5064152714185727E-4</v>
      </c>
      <c r="G663" s="4">
        <f t="shared" si="171"/>
        <v>6.5064152714185727E-4</v>
      </c>
      <c r="H663" s="4">
        <f t="shared" si="171"/>
        <v>6.5064152714185727E-4</v>
      </c>
      <c r="I663" s="4">
        <f t="shared" si="171"/>
        <v>6.5064152714185727E-4</v>
      </c>
      <c r="J663" s="4">
        <f t="shared" si="171"/>
        <v>6.5064152714185727E-4</v>
      </c>
      <c r="K663" s="4">
        <f t="shared" si="171"/>
        <v>6.5064152714185727E-4</v>
      </c>
      <c r="L663" s="4">
        <f t="shared" si="171"/>
        <v>6.5064152714185727E-4</v>
      </c>
      <c r="M663" s="4">
        <f t="shared" si="171"/>
        <v>6.5064152714185727E-4</v>
      </c>
      <c r="N663" t="s">
        <v>242</v>
      </c>
      <c r="O663" t="s">
        <v>315</v>
      </c>
      <c r="P663" t="s">
        <v>305</v>
      </c>
      <c r="Q663" t="s">
        <v>245</v>
      </c>
    </row>
    <row r="664" spans="1:17" x14ac:dyDescent="0.25">
      <c r="A664" t="s">
        <v>305</v>
      </c>
      <c r="B664" t="s">
        <v>179</v>
      </c>
      <c r="C664" s="4">
        <f t="shared" ref="C664:M664" si="172">(0.0904226503711535 / ( 0.0260899569876454 + 0.0904226503711535 + 0.00131543821211861))*0.293844177461486%</f>
        <v>2.2549953360812783E-3</v>
      </c>
      <c r="D664" s="4">
        <f t="shared" si="172"/>
        <v>2.2549953360812783E-3</v>
      </c>
      <c r="E664" s="4">
        <f t="shared" si="172"/>
        <v>2.2549953360812783E-3</v>
      </c>
      <c r="F664" s="4">
        <f t="shared" si="172"/>
        <v>2.2549953360812783E-3</v>
      </c>
      <c r="G664" s="4">
        <f t="shared" si="172"/>
        <v>2.2549953360812783E-3</v>
      </c>
      <c r="H664" s="4">
        <f t="shared" si="172"/>
        <v>2.2549953360812783E-3</v>
      </c>
      <c r="I664" s="4">
        <f t="shared" si="172"/>
        <v>2.2549953360812783E-3</v>
      </c>
      <c r="J664" s="4">
        <f t="shared" si="172"/>
        <v>2.2549953360812783E-3</v>
      </c>
      <c r="K664" s="4">
        <f t="shared" si="172"/>
        <v>2.2549953360812783E-3</v>
      </c>
      <c r="L664" s="4">
        <f t="shared" si="172"/>
        <v>2.2549953360812783E-3</v>
      </c>
      <c r="M664" s="4">
        <f t="shared" si="172"/>
        <v>2.2549953360812783E-3</v>
      </c>
      <c r="N664" t="s">
        <v>242</v>
      </c>
      <c r="O664" t="s">
        <v>316</v>
      </c>
      <c r="P664" t="s">
        <v>305</v>
      </c>
      <c r="Q664" t="s">
        <v>245</v>
      </c>
    </row>
    <row r="665" spans="1:17" x14ac:dyDescent="0.25">
      <c r="A665" t="s">
        <v>305</v>
      </c>
      <c r="B665" t="s">
        <v>179</v>
      </c>
      <c r="C665" s="4">
        <f t="shared" ref="C665:M665" si="173">(0.00131543821211861 / ( 0.0260899569876454 + 0.0904226503711535 + 0.00131543821211861))*0.293844177461486%</f>
        <v>3.2804911391724344E-5</v>
      </c>
      <c r="D665" s="4">
        <f t="shared" si="173"/>
        <v>3.2804911391724344E-5</v>
      </c>
      <c r="E665" s="4">
        <f t="shared" si="173"/>
        <v>3.2804911391724344E-5</v>
      </c>
      <c r="F665" s="4">
        <f t="shared" si="173"/>
        <v>3.2804911391724344E-5</v>
      </c>
      <c r="G665" s="4">
        <f t="shared" si="173"/>
        <v>3.2804911391724344E-5</v>
      </c>
      <c r="H665" s="4">
        <f t="shared" si="173"/>
        <v>3.2804911391724344E-5</v>
      </c>
      <c r="I665" s="4">
        <f t="shared" si="173"/>
        <v>3.2804911391724344E-5</v>
      </c>
      <c r="J665" s="4">
        <f t="shared" si="173"/>
        <v>3.2804911391724344E-5</v>
      </c>
      <c r="K665" s="4">
        <f t="shared" si="173"/>
        <v>3.2804911391724344E-5</v>
      </c>
      <c r="L665" s="4">
        <f t="shared" si="173"/>
        <v>3.2804911391724344E-5</v>
      </c>
      <c r="M665" s="4">
        <f t="shared" si="173"/>
        <v>3.2804911391724344E-5</v>
      </c>
      <c r="N665" t="s">
        <v>242</v>
      </c>
      <c r="O665" t="s">
        <v>317</v>
      </c>
      <c r="P665" t="s">
        <v>305</v>
      </c>
      <c r="Q665" t="s">
        <v>245</v>
      </c>
    </row>
    <row r="666" spans="1:17" x14ac:dyDescent="0.25">
      <c r="A666" t="s">
        <v>305</v>
      </c>
      <c r="B666" t="s">
        <v>135</v>
      </c>
      <c r="C666" s="4">
        <f t="shared" ref="C666:M666" si="174">(0.0260899569876454 / ( 0.0260899569876454 + 0.0904226503711535 + 0.00131543821211861))*0.000159506268524287%</f>
        <v>3.5318515765024417E-7</v>
      </c>
      <c r="D666" s="4">
        <f t="shared" si="174"/>
        <v>3.5318515765024417E-7</v>
      </c>
      <c r="E666" s="4">
        <f t="shared" si="174"/>
        <v>3.5318515765024417E-7</v>
      </c>
      <c r="F666" s="4">
        <f t="shared" si="174"/>
        <v>3.5318515765024417E-7</v>
      </c>
      <c r="G666" s="4">
        <f t="shared" si="174"/>
        <v>3.5318515765024417E-7</v>
      </c>
      <c r="H666" s="4">
        <f t="shared" si="174"/>
        <v>3.5318515765024417E-7</v>
      </c>
      <c r="I666" s="4">
        <f t="shared" si="174"/>
        <v>3.5318515765024417E-7</v>
      </c>
      <c r="J666" s="4">
        <f t="shared" si="174"/>
        <v>3.5318515765024417E-7</v>
      </c>
      <c r="K666" s="4">
        <f t="shared" si="174"/>
        <v>3.5318515765024417E-7</v>
      </c>
      <c r="L666" s="4">
        <f t="shared" si="174"/>
        <v>3.5318515765024417E-7</v>
      </c>
      <c r="M666" s="4">
        <f t="shared" si="174"/>
        <v>3.5318515765024417E-7</v>
      </c>
      <c r="N666" t="s">
        <v>242</v>
      </c>
      <c r="O666" t="s">
        <v>315</v>
      </c>
      <c r="P666" t="s">
        <v>305</v>
      </c>
      <c r="Q666" t="s">
        <v>245</v>
      </c>
    </row>
    <row r="667" spans="1:17" x14ac:dyDescent="0.25">
      <c r="A667" t="s">
        <v>305</v>
      </c>
      <c r="B667" t="s">
        <v>135</v>
      </c>
      <c r="C667" s="4">
        <f t="shared" ref="C667:M667" si="175">(0.0904226503711535 / ( 0.0260899569876454 + 0.0904226503711535 + 0.00131543821211861))*0.000159506268524287%</f>
        <v>1.2240701677512021E-6</v>
      </c>
      <c r="D667" s="4">
        <f t="shared" si="175"/>
        <v>1.2240701677512021E-6</v>
      </c>
      <c r="E667" s="4">
        <f t="shared" si="175"/>
        <v>1.2240701677512021E-6</v>
      </c>
      <c r="F667" s="4">
        <f t="shared" si="175"/>
        <v>1.2240701677512021E-6</v>
      </c>
      <c r="G667" s="4">
        <f t="shared" si="175"/>
        <v>1.2240701677512021E-6</v>
      </c>
      <c r="H667" s="4">
        <f t="shared" si="175"/>
        <v>1.2240701677512021E-6</v>
      </c>
      <c r="I667" s="4">
        <f t="shared" si="175"/>
        <v>1.2240701677512021E-6</v>
      </c>
      <c r="J667" s="4">
        <f t="shared" si="175"/>
        <v>1.2240701677512021E-6</v>
      </c>
      <c r="K667" s="4">
        <f t="shared" si="175"/>
        <v>1.2240701677512021E-6</v>
      </c>
      <c r="L667" s="4">
        <f t="shared" si="175"/>
        <v>1.2240701677512021E-6</v>
      </c>
      <c r="M667" s="4">
        <f t="shared" si="175"/>
        <v>1.2240701677512021E-6</v>
      </c>
      <c r="N667" t="s">
        <v>242</v>
      </c>
      <c r="O667" t="s">
        <v>316</v>
      </c>
      <c r="P667" t="s">
        <v>305</v>
      </c>
      <c r="Q667" t="s">
        <v>245</v>
      </c>
    </row>
    <row r="668" spans="1:17" x14ac:dyDescent="0.25">
      <c r="A668" t="s">
        <v>305</v>
      </c>
      <c r="B668" t="s">
        <v>135</v>
      </c>
      <c r="C668" s="4">
        <f t="shared" ref="C668:M668" si="176">(0.00131543821211861 / ( 0.0260899569876454 + 0.0904226503711535 + 0.00131543821211861))*0.000159506268524287%</f>
        <v>1.7807359841423631E-8</v>
      </c>
      <c r="D668" s="4">
        <f t="shared" si="176"/>
        <v>1.7807359841423631E-8</v>
      </c>
      <c r="E668" s="4">
        <f t="shared" si="176"/>
        <v>1.7807359841423631E-8</v>
      </c>
      <c r="F668" s="4">
        <f t="shared" si="176"/>
        <v>1.7807359841423631E-8</v>
      </c>
      <c r="G668" s="4">
        <f t="shared" si="176"/>
        <v>1.7807359841423631E-8</v>
      </c>
      <c r="H668" s="4">
        <f t="shared" si="176"/>
        <v>1.7807359841423631E-8</v>
      </c>
      <c r="I668" s="4">
        <f t="shared" si="176"/>
        <v>1.7807359841423631E-8</v>
      </c>
      <c r="J668" s="4">
        <f t="shared" si="176"/>
        <v>1.7807359841423631E-8</v>
      </c>
      <c r="K668" s="4">
        <f t="shared" si="176"/>
        <v>1.7807359841423631E-8</v>
      </c>
      <c r="L668" s="4">
        <f t="shared" si="176"/>
        <v>1.7807359841423631E-8</v>
      </c>
      <c r="M668" s="4">
        <f t="shared" si="176"/>
        <v>1.7807359841423631E-8</v>
      </c>
      <c r="N668" t="s">
        <v>242</v>
      </c>
      <c r="O668" t="s">
        <v>317</v>
      </c>
      <c r="P668" t="s">
        <v>305</v>
      </c>
      <c r="Q668" t="s">
        <v>245</v>
      </c>
    </row>
    <row r="669" spans="1:17" x14ac:dyDescent="0.25">
      <c r="A669" t="s">
        <v>305</v>
      </c>
      <c r="B669" t="s">
        <v>137</v>
      </c>
      <c r="C669" s="4">
        <f t="shared" ref="C669:M669" si="177">(0.0260899569876454 / ( 0.0260899569876454 + 0.0904226503711535 + 0.00131543821211861))*0.213583697959699%</f>
        <v>4.729255642008357E-4</v>
      </c>
      <c r="D669" s="4">
        <f t="shared" si="177"/>
        <v>4.729255642008357E-4</v>
      </c>
      <c r="E669" s="4">
        <f t="shared" si="177"/>
        <v>4.729255642008357E-4</v>
      </c>
      <c r="F669" s="4">
        <f t="shared" si="177"/>
        <v>4.729255642008357E-4</v>
      </c>
      <c r="G669" s="4">
        <f t="shared" si="177"/>
        <v>4.729255642008357E-4</v>
      </c>
      <c r="H669" s="4">
        <f t="shared" si="177"/>
        <v>4.729255642008357E-4</v>
      </c>
      <c r="I669" s="4">
        <f t="shared" si="177"/>
        <v>4.729255642008357E-4</v>
      </c>
      <c r="J669" s="4">
        <f t="shared" si="177"/>
        <v>4.729255642008357E-4</v>
      </c>
      <c r="K669" s="4">
        <f t="shared" si="177"/>
        <v>4.729255642008357E-4</v>
      </c>
      <c r="L669" s="4">
        <f t="shared" si="177"/>
        <v>4.729255642008357E-4</v>
      </c>
      <c r="M669" s="4">
        <f t="shared" si="177"/>
        <v>4.729255642008357E-4</v>
      </c>
      <c r="N669" t="s">
        <v>242</v>
      </c>
      <c r="O669" t="s">
        <v>315</v>
      </c>
      <c r="P669" t="s">
        <v>305</v>
      </c>
      <c r="Q669" t="s">
        <v>245</v>
      </c>
    </row>
    <row r="670" spans="1:17" x14ac:dyDescent="0.25">
      <c r="A670" t="s">
        <v>305</v>
      </c>
      <c r="B670" t="s">
        <v>137</v>
      </c>
      <c r="C670" s="4">
        <f t="shared" ref="C670:M670" si="178">(0.0904226503711535 / ( 0.0260899569876454 + 0.0904226503711535 + 0.00131543821211861))*0.213583697959699%</f>
        <v>1.639066824202228E-3</v>
      </c>
      <c r="D670" s="4">
        <f t="shared" si="178"/>
        <v>1.639066824202228E-3</v>
      </c>
      <c r="E670" s="4">
        <f t="shared" si="178"/>
        <v>1.639066824202228E-3</v>
      </c>
      <c r="F670" s="4">
        <f t="shared" si="178"/>
        <v>1.639066824202228E-3</v>
      </c>
      <c r="G670" s="4">
        <f t="shared" si="178"/>
        <v>1.639066824202228E-3</v>
      </c>
      <c r="H670" s="4">
        <f t="shared" si="178"/>
        <v>1.639066824202228E-3</v>
      </c>
      <c r="I670" s="4">
        <f t="shared" si="178"/>
        <v>1.639066824202228E-3</v>
      </c>
      <c r="J670" s="4">
        <f t="shared" si="178"/>
        <v>1.639066824202228E-3</v>
      </c>
      <c r="K670" s="4">
        <f t="shared" si="178"/>
        <v>1.639066824202228E-3</v>
      </c>
      <c r="L670" s="4">
        <f t="shared" si="178"/>
        <v>1.639066824202228E-3</v>
      </c>
      <c r="M670" s="4">
        <f t="shared" si="178"/>
        <v>1.639066824202228E-3</v>
      </c>
      <c r="N670" t="s">
        <v>242</v>
      </c>
      <c r="O670" t="s">
        <v>316</v>
      </c>
      <c r="P670" t="s">
        <v>305</v>
      </c>
      <c r="Q670" t="s">
        <v>245</v>
      </c>
    </row>
    <row r="671" spans="1:17" x14ac:dyDescent="0.25">
      <c r="A671" t="s">
        <v>305</v>
      </c>
      <c r="B671" t="s">
        <v>137</v>
      </c>
      <c r="C671" s="4">
        <f t="shared" ref="C671:M671" si="179">(0.00131543821211861 / ( 0.0260899569876454 + 0.0904226503711535 + 0.00131543821211861))*0.213583697959699%</f>
        <v>2.3844591193926558E-5</v>
      </c>
      <c r="D671" s="4">
        <f t="shared" si="179"/>
        <v>2.3844591193926558E-5</v>
      </c>
      <c r="E671" s="4">
        <f t="shared" si="179"/>
        <v>2.3844591193926558E-5</v>
      </c>
      <c r="F671" s="4">
        <f t="shared" si="179"/>
        <v>2.3844591193926558E-5</v>
      </c>
      <c r="G671" s="4">
        <f t="shared" si="179"/>
        <v>2.3844591193926558E-5</v>
      </c>
      <c r="H671" s="4">
        <f t="shared" si="179"/>
        <v>2.3844591193926558E-5</v>
      </c>
      <c r="I671" s="4">
        <f t="shared" si="179"/>
        <v>2.3844591193926558E-5</v>
      </c>
      <c r="J671" s="4">
        <f t="shared" si="179"/>
        <v>2.3844591193926558E-5</v>
      </c>
      <c r="K671" s="4">
        <f t="shared" si="179"/>
        <v>2.3844591193926558E-5</v>
      </c>
      <c r="L671" s="4">
        <f t="shared" si="179"/>
        <v>2.3844591193926558E-5</v>
      </c>
      <c r="M671" s="4">
        <f t="shared" si="179"/>
        <v>2.3844591193926558E-5</v>
      </c>
      <c r="N671" t="s">
        <v>242</v>
      </c>
      <c r="O671" t="s">
        <v>317</v>
      </c>
      <c r="P671" t="s">
        <v>305</v>
      </c>
      <c r="Q671" t="s">
        <v>245</v>
      </c>
    </row>
    <row r="672" spans="1:17" x14ac:dyDescent="0.25">
      <c r="A672" t="s">
        <v>305</v>
      </c>
      <c r="B672" t="s">
        <v>121</v>
      </c>
      <c r="C672" s="4">
        <f t="shared" ref="C672:M672" si="180">(0.0260899569876454 / ( 0.0260899569876454 + 0.0904226503711535 + 0.00131543821211861))*0.847191601476086%</f>
        <v>1.875885519080616E-3</v>
      </c>
      <c r="D672" s="4">
        <f t="shared" si="180"/>
        <v>1.875885519080616E-3</v>
      </c>
      <c r="E672" s="4">
        <f t="shared" si="180"/>
        <v>1.875885519080616E-3</v>
      </c>
      <c r="F672" s="4">
        <f t="shared" si="180"/>
        <v>1.875885519080616E-3</v>
      </c>
      <c r="G672" s="4">
        <f t="shared" si="180"/>
        <v>1.875885519080616E-3</v>
      </c>
      <c r="H672" s="4">
        <f t="shared" si="180"/>
        <v>1.875885519080616E-3</v>
      </c>
      <c r="I672" s="4">
        <f t="shared" si="180"/>
        <v>1.875885519080616E-3</v>
      </c>
      <c r="J672" s="4">
        <f t="shared" si="180"/>
        <v>1.875885519080616E-3</v>
      </c>
      <c r="K672" s="4">
        <f t="shared" si="180"/>
        <v>1.875885519080616E-3</v>
      </c>
      <c r="L672" s="4">
        <f t="shared" si="180"/>
        <v>1.875885519080616E-3</v>
      </c>
      <c r="M672" s="4">
        <f t="shared" si="180"/>
        <v>1.875885519080616E-3</v>
      </c>
      <c r="N672" t="s">
        <v>242</v>
      </c>
      <c r="O672" t="s">
        <v>315</v>
      </c>
      <c r="P672" t="s">
        <v>305</v>
      </c>
      <c r="Q672" t="s">
        <v>245</v>
      </c>
    </row>
    <row r="673" spans="1:17" x14ac:dyDescent="0.25">
      <c r="A673" t="s">
        <v>305</v>
      </c>
      <c r="B673" t="s">
        <v>121</v>
      </c>
      <c r="C673" s="4">
        <f t="shared" ref="C673:M673" si="181">(0.0904226503711535 / ( 0.0260899569876454 + 0.0904226503711535 + 0.00131543821211861))*0.847191601476086%</f>
        <v>6.5014496002603278E-3</v>
      </c>
      <c r="D673" s="4">
        <f t="shared" si="181"/>
        <v>6.5014496002603278E-3</v>
      </c>
      <c r="E673" s="4">
        <f t="shared" si="181"/>
        <v>6.5014496002603278E-3</v>
      </c>
      <c r="F673" s="4">
        <f t="shared" si="181"/>
        <v>6.5014496002603278E-3</v>
      </c>
      <c r="G673" s="4">
        <f t="shared" si="181"/>
        <v>6.5014496002603278E-3</v>
      </c>
      <c r="H673" s="4">
        <f t="shared" si="181"/>
        <v>6.5014496002603278E-3</v>
      </c>
      <c r="I673" s="4">
        <f t="shared" si="181"/>
        <v>6.5014496002603278E-3</v>
      </c>
      <c r="J673" s="4">
        <f t="shared" si="181"/>
        <v>6.5014496002603278E-3</v>
      </c>
      <c r="K673" s="4">
        <f t="shared" si="181"/>
        <v>6.5014496002603278E-3</v>
      </c>
      <c r="L673" s="4">
        <f t="shared" si="181"/>
        <v>6.5014496002603278E-3</v>
      </c>
      <c r="M673" s="4">
        <f t="shared" si="181"/>
        <v>6.5014496002603278E-3</v>
      </c>
      <c r="N673" t="s">
        <v>242</v>
      </c>
      <c r="O673" t="s">
        <v>316</v>
      </c>
      <c r="P673" t="s">
        <v>305</v>
      </c>
      <c r="Q673" t="s">
        <v>245</v>
      </c>
    </row>
    <row r="674" spans="1:17" x14ac:dyDescent="0.25">
      <c r="A674" t="s">
        <v>305</v>
      </c>
      <c r="B674" t="s">
        <v>121</v>
      </c>
      <c r="C674" s="4">
        <f t="shared" ref="C674:M674" si="182">(0.00131543821211861 / ( 0.0260899569876454 + 0.0904226503711535 + 0.00131543821211861))*0.847191601476086%</f>
        <v>9.4580895419915995E-5</v>
      </c>
      <c r="D674" s="4">
        <f t="shared" si="182"/>
        <v>9.4580895419915995E-5</v>
      </c>
      <c r="E674" s="4">
        <f t="shared" si="182"/>
        <v>9.4580895419915995E-5</v>
      </c>
      <c r="F674" s="4">
        <f t="shared" si="182"/>
        <v>9.4580895419915995E-5</v>
      </c>
      <c r="G674" s="4">
        <f t="shared" si="182"/>
        <v>9.4580895419915995E-5</v>
      </c>
      <c r="H674" s="4">
        <f t="shared" si="182"/>
        <v>9.4580895419915995E-5</v>
      </c>
      <c r="I674" s="4">
        <f t="shared" si="182"/>
        <v>9.4580895419915995E-5</v>
      </c>
      <c r="J674" s="4">
        <f t="shared" si="182"/>
        <v>9.4580895419915995E-5</v>
      </c>
      <c r="K674" s="4">
        <f t="shared" si="182"/>
        <v>9.4580895419915995E-5</v>
      </c>
      <c r="L674" s="4">
        <f t="shared" si="182"/>
        <v>9.4580895419915995E-5</v>
      </c>
      <c r="M674" s="4">
        <f t="shared" si="182"/>
        <v>9.4580895419915995E-5</v>
      </c>
      <c r="N674" t="s">
        <v>242</v>
      </c>
      <c r="O674" t="s">
        <v>317</v>
      </c>
      <c r="P674" t="s">
        <v>305</v>
      </c>
      <c r="Q674" t="s">
        <v>245</v>
      </c>
    </row>
    <row r="675" spans="1:17" x14ac:dyDescent="0.25">
      <c r="A675" t="s">
        <v>305</v>
      </c>
      <c r="B675" t="s">
        <v>138</v>
      </c>
      <c r="C675" s="4">
        <f t="shared" ref="C675:M675" si="183">(0.0260899569876454 / ( 0.0260899569876454 + 0.0904226503711535 + 0.00131543821211861))*0.478612011043023%</f>
        <v>1.0597618522296007E-3</v>
      </c>
      <c r="D675" s="4">
        <f t="shared" si="183"/>
        <v>1.0597618522296007E-3</v>
      </c>
      <c r="E675" s="4">
        <f t="shared" si="183"/>
        <v>1.0597618522296007E-3</v>
      </c>
      <c r="F675" s="4">
        <f t="shared" si="183"/>
        <v>1.0597618522296007E-3</v>
      </c>
      <c r="G675" s="4">
        <f t="shared" si="183"/>
        <v>1.0597618522296007E-3</v>
      </c>
      <c r="H675" s="4">
        <f t="shared" si="183"/>
        <v>1.0597618522296007E-3</v>
      </c>
      <c r="I675" s="4">
        <f t="shared" si="183"/>
        <v>1.0597618522296007E-3</v>
      </c>
      <c r="J675" s="4">
        <f t="shared" si="183"/>
        <v>1.0597618522296007E-3</v>
      </c>
      <c r="K675" s="4">
        <f t="shared" si="183"/>
        <v>1.0597618522296007E-3</v>
      </c>
      <c r="L675" s="4">
        <f t="shared" si="183"/>
        <v>1.0597618522296007E-3</v>
      </c>
      <c r="M675" s="4">
        <f t="shared" si="183"/>
        <v>1.0597618522296007E-3</v>
      </c>
      <c r="N675" t="s">
        <v>242</v>
      </c>
      <c r="O675" t="s">
        <v>315</v>
      </c>
      <c r="P675" t="s">
        <v>305</v>
      </c>
      <c r="Q675" t="s">
        <v>245</v>
      </c>
    </row>
    <row r="676" spans="1:17" x14ac:dyDescent="0.25">
      <c r="A676" t="s">
        <v>305</v>
      </c>
      <c r="B676" t="s">
        <v>138</v>
      </c>
      <c r="C676" s="4">
        <f t="shared" ref="C676:M676" si="184">(0.0904226503711535 / ( 0.0260899569876454 + 0.0904226503711535 + 0.00131543821211861))*0.478612011043023%</f>
        <v>3.6729257731709084E-3</v>
      </c>
      <c r="D676" s="4">
        <f t="shared" si="184"/>
        <v>3.6729257731709084E-3</v>
      </c>
      <c r="E676" s="4">
        <f t="shared" si="184"/>
        <v>3.6729257731709084E-3</v>
      </c>
      <c r="F676" s="4">
        <f t="shared" si="184"/>
        <v>3.6729257731709084E-3</v>
      </c>
      <c r="G676" s="4">
        <f t="shared" si="184"/>
        <v>3.6729257731709084E-3</v>
      </c>
      <c r="H676" s="4">
        <f t="shared" si="184"/>
        <v>3.6729257731709084E-3</v>
      </c>
      <c r="I676" s="4">
        <f t="shared" si="184"/>
        <v>3.6729257731709084E-3</v>
      </c>
      <c r="J676" s="4">
        <f t="shared" si="184"/>
        <v>3.6729257731709084E-3</v>
      </c>
      <c r="K676" s="4">
        <f t="shared" si="184"/>
        <v>3.6729257731709084E-3</v>
      </c>
      <c r="L676" s="4">
        <f t="shared" si="184"/>
        <v>3.6729257731709084E-3</v>
      </c>
      <c r="M676" s="4">
        <f t="shared" si="184"/>
        <v>3.6729257731709084E-3</v>
      </c>
      <c r="N676" t="s">
        <v>242</v>
      </c>
      <c r="O676" t="s">
        <v>316</v>
      </c>
      <c r="P676" t="s">
        <v>305</v>
      </c>
      <c r="Q676" t="s">
        <v>245</v>
      </c>
    </row>
    <row r="677" spans="1:17" x14ac:dyDescent="0.25">
      <c r="A677" t="s">
        <v>305</v>
      </c>
      <c r="B677" t="s">
        <v>138</v>
      </c>
      <c r="C677" s="4">
        <f t="shared" ref="C677:M677" si="185">(0.00131543821211861 / ( 0.0260899569876454 + 0.0904226503711535 + 0.00131543821211861))*0.478612011043023%</f>
        <v>5.343248502972042E-5</v>
      </c>
      <c r="D677" s="4">
        <f t="shared" si="185"/>
        <v>5.343248502972042E-5</v>
      </c>
      <c r="E677" s="4">
        <f t="shared" si="185"/>
        <v>5.343248502972042E-5</v>
      </c>
      <c r="F677" s="4">
        <f t="shared" si="185"/>
        <v>5.343248502972042E-5</v>
      </c>
      <c r="G677" s="4">
        <f t="shared" si="185"/>
        <v>5.343248502972042E-5</v>
      </c>
      <c r="H677" s="4">
        <f t="shared" si="185"/>
        <v>5.343248502972042E-5</v>
      </c>
      <c r="I677" s="4">
        <f t="shared" si="185"/>
        <v>5.343248502972042E-5</v>
      </c>
      <c r="J677" s="4">
        <f t="shared" si="185"/>
        <v>5.343248502972042E-5</v>
      </c>
      <c r="K677" s="4">
        <f t="shared" si="185"/>
        <v>5.343248502972042E-5</v>
      </c>
      <c r="L677" s="4">
        <f t="shared" si="185"/>
        <v>5.343248502972042E-5</v>
      </c>
      <c r="M677" s="4">
        <f t="shared" si="185"/>
        <v>5.343248502972042E-5</v>
      </c>
      <c r="N677" t="s">
        <v>242</v>
      </c>
      <c r="O677" t="s">
        <v>317</v>
      </c>
      <c r="P677" t="s">
        <v>305</v>
      </c>
      <c r="Q677" t="s">
        <v>245</v>
      </c>
    </row>
    <row r="678" spans="1:17" x14ac:dyDescent="0.25">
      <c r="A678" t="s">
        <v>305</v>
      </c>
      <c r="B678" t="s">
        <v>139</v>
      </c>
      <c r="C678" s="4">
        <f t="shared" ref="C678:M678" si="186">(0.0260899569876454 / ( 0.0260899569876454 + 0.0904226503711535 + 0.00131543821211861))*0.0108733309314508%</f>
        <v>2.4076164120302202E-5</v>
      </c>
      <c r="D678" s="4">
        <f t="shared" si="186"/>
        <v>2.4076164120302202E-5</v>
      </c>
      <c r="E678" s="4">
        <f t="shared" si="186"/>
        <v>2.4076164120302202E-5</v>
      </c>
      <c r="F678" s="4">
        <f t="shared" si="186"/>
        <v>2.4076164120302202E-5</v>
      </c>
      <c r="G678" s="4">
        <f t="shared" si="186"/>
        <v>2.4076164120302202E-5</v>
      </c>
      <c r="H678" s="4">
        <f t="shared" si="186"/>
        <v>2.4076164120302202E-5</v>
      </c>
      <c r="I678" s="4">
        <f t="shared" si="186"/>
        <v>2.4076164120302202E-5</v>
      </c>
      <c r="J678" s="4">
        <f t="shared" si="186"/>
        <v>2.4076164120302202E-5</v>
      </c>
      <c r="K678" s="4">
        <f t="shared" si="186"/>
        <v>2.4076164120302202E-5</v>
      </c>
      <c r="L678" s="4">
        <f t="shared" si="186"/>
        <v>2.4076164120302202E-5</v>
      </c>
      <c r="M678" s="4">
        <f t="shared" si="186"/>
        <v>2.4076164120302202E-5</v>
      </c>
      <c r="N678" t="s">
        <v>242</v>
      </c>
      <c r="O678" t="s">
        <v>315</v>
      </c>
      <c r="P678" t="s">
        <v>305</v>
      </c>
      <c r="Q678" t="s">
        <v>245</v>
      </c>
    </row>
    <row r="679" spans="1:17" x14ac:dyDescent="0.25">
      <c r="A679" t="s">
        <v>305</v>
      </c>
      <c r="B679" t="s">
        <v>139</v>
      </c>
      <c r="C679" s="4">
        <f t="shared" ref="C679:M679" si="187">(0.0904226503711535 / ( 0.0260899569876454 + 0.0904226503711535 + 0.00131543821211861))*0.0108733309314508%</f>
        <v>8.3443241073931414E-5</v>
      </c>
      <c r="D679" s="4">
        <f t="shared" si="187"/>
        <v>8.3443241073931414E-5</v>
      </c>
      <c r="E679" s="4">
        <f t="shared" si="187"/>
        <v>8.3443241073931414E-5</v>
      </c>
      <c r="F679" s="4">
        <f t="shared" si="187"/>
        <v>8.3443241073931414E-5</v>
      </c>
      <c r="G679" s="4">
        <f t="shared" si="187"/>
        <v>8.3443241073931414E-5</v>
      </c>
      <c r="H679" s="4">
        <f t="shared" si="187"/>
        <v>8.3443241073931414E-5</v>
      </c>
      <c r="I679" s="4">
        <f t="shared" si="187"/>
        <v>8.3443241073931414E-5</v>
      </c>
      <c r="J679" s="4">
        <f t="shared" si="187"/>
        <v>8.3443241073931414E-5</v>
      </c>
      <c r="K679" s="4">
        <f t="shared" si="187"/>
        <v>8.3443241073931414E-5</v>
      </c>
      <c r="L679" s="4">
        <f t="shared" si="187"/>
        <v>8.3443241073931414E-5</v>
      </c>
      <c r="M679" s="4">
        <f t="shared" si="187"/>
        <v>8.3443241073931414E-5</v>
      </c>
      <c r="N679" t="s">
        <v>242</v>
      </c>
      <c r="O679" t="s">
        <v>316</v>
      </c>
      <c r="P679" t="s">
        <v>305</v>
      </c>
      <c r="Q679" t="s">
        <v>245</v>
      </c>
    </row>
    <row r="680" spans="1:17" x14ac:dyDescent="0.25">
      <c r="A680" t="s">
        <v>305</v>
      </c>
      <c r="B680" t="s">
        <v>139</v>
      </c>
      <c r="C680" s="4">
        <f t="shared" ref="C680:M680" si="188">(0.00131543821211861 / ( 0.0260899569876454 + 0.0904226503711535 + 0.00131543821211861))*0.0108733309314508%</f>
        <v>1.2139041202743972E-6</v>
      </c>
      <c r="D680" s="4">
        <f t="shared" si="188"/>
        <v>1.2139041202743972E-6</v>
      </c>
      <c r="E680" s="4">
        <f t="shared" si="188"/>
        <v>1.2139041202743972E-6</v>
      </c>
      <c r="F680" s="4">
        <f t="shared" si="188"/>
        <v>1.2139041202743972E-6</v>
      </c>
      <c r="G680" s="4">
        <f t="shared" si="188"/>
        <v>1.2139041202743972E-6</v>
      </c>
      <c r="H680" s="4">
        <f t="shared" si="188"/>
        <v>1.2139041202743972E-6</v>
      </c>
      <c r="I680" s="4">
        <f t="shared" si="188"/>
        <v>1.2139041202743972E-6</v>
      </c>
      <c r="J680" s="4">
        <f t="shared" si="188"/>
        <v>1.2139041202743972E-6</v>
      </c>
      <c r="K680" s="4">
        <f t="shared" si="188"/>
        <v>1.2139041202743972E-6</v>
      </c>
      <c r="L680" s="4">
        <f t="shared" si="188"/>
        <v>1.2139041202743972E-6</v>
      </c>
      <c r="M680" s="4">
        <f t="shared" si="188"/>
        <v>1.2139041202743972E-6</v>
      </c>
      <c r="N680" t="s">
        <v>242</v>
      </c>
      <c r="O680" t="s">
        <v>317</v>
      </c>
      <c r="P680" t="s">
        <v>305</v>
      </c>
      <c r="Q680" t="s">
        <v>245</v>
      </c>
    </row>
    <row r="681" spans="1:17" x14ac:dyDescent="0.25">
      <c r="A681" t="s">
        <v>305</v>
      </c>
      <c r="B681" t="s">
        <v>111</v>
      </c>
      <c r="C681" s="4">
        <f t="shared" ref="C681:M681" si="189">(0.0260899569876454 / ( 0.0260899569876454 + 0.0904226503711535 + 0.00131543821211861))*0.232533234836611%</f>
        <v>5.1488438645397002E-4</v>
      </c>
      <c r="D681" s="4">
        <f t="shared" si="189"/>
        <v>5.1488438645397002E-4</v>
      </c>
      <c r="E681" s="4">
        <f t="shared" si="189"/>
        <v>5.1488438645397002E-4</v>
      </c>
      <c r="F681" s="4">
        <f t="shared" si="189"/>
        <v>5.1488438645397002E-4</v>
      </c>
      <c r="G681" s="4">
        <f t="shared" si="189"/>
        <v>5.1488438645397002E-4</v>
      </c>
      <c r="H681" s="4">
        <f t="shared" si="189"/>
        <v>5.1488438645397002E-4</v>
      </c>
      <c r="I681" s="4">
        <f t="shared" si="189"/>
        <v>5.1488438645397002E-4</v>
      </c>
      <c r="J681" s="4">
        <f t="shared" si="189"/>
        <v>5.1488438645397002E-4</v>
      </c>
      <c r="K681" s="4">
        <f t="shared" si="189"/>
        <v>5.1488438645397002E-4</v>
      </c>
      <c r="L681" s="4">
        <f t="shared" si="189"/>
        <v>5.1488438645397002E-4</v>
      </c>
      <c r="M681" s="4">
        <f t="shared" si="189"/>
        <v>5.1488438645397002E-4</v>
      </c>
      <c r="N681" t="s">
        <v>242</v>
      </c>
      <c r="O681" t="s">
        <v>315</v>
      </c>
      <c r="P681" t="s">
        <v>305</v>
      </c>
      <c r="Q681" t="s">
        <v>245</v>
      </c>
    </row>
    <row r="682" spans="1:17" x14ac:dyDescent="0.25">
      <c r="A682" t="s">
        <v>305</v>
      </c>
      <c r="B682" t="s">
        <v>111</v>
      </c>
      <c r="C682" s="4">
        <f t="shared" ref="C682:M682" si="190">(0.0904226503711535 / ( 0.0260899569876454 + 0.0904226503711535 + 0.00131543821211861))*0.232533234836611%</f>
        <v>1.7844878349144019E-3</v>
      </c>
      <c r="D682" s="4">
        <f t="shared" si="190"/>
        <v>1.7844878349144019E-3</v>
      </c>
      <c r="E682" s="4">
        <f t="shared" si="190"/>
        <v>1.7844878349144019E-3</v>
      </c>
      <c r="F682" s="4">
        <f t="shared" si="190"/>
        <v>1.7844878349144019E-3</v>
      </c>
      <c r="G682" s="4">
        <f t="shared" si="190"/>
        <v>1.7844878349144019E-3</v>
      </c>
      <c r="H682" s="4">
        <f t="shared" si="190"/>
        <v>1.7844878349144019E-3</v>
      </c>
      <c r="I682" s="4">
        <f t="shared" si="190"/>
        <v>1.7844878349144019E-3</v>
      </c>
      <c r="J682" s="4">
        <f t="shared" si="190"/>
        <v>1.7844878349144019E-3</v>
      </c>
      <c r="K682" s="4">
        <f t="shared" si="190"/>
        <v>1.7844878349144019E-3</v>
      </c>
      <c r="L682" s="4">
        <f t="shared" si="190"/>
        <v>1.7844878349144019E-3</v>
      </c>
      <c r="M682" s="4">
        <f t="shared" si="190"/>
        <v>1.7844878349144019E-3</v>
      </c>
      <c r="N682" t="s">
        <v>242</v>
      </c>
      <c r="O682" t="s">
        <v>316</v>
      </c>
      <c r="P682" t="s">
        <v>305</v>
      </c>
      <c r="Q682" t="s">
        <v>245</v>
      </c>
    </row>
    <row r="683" spans="1:17" x14ac:dyDescent="0.25">
      <c r="A683" t="s">
        <v>305</v>
      </c>
      <c r="B683" t="s">
        <v>111</v>
      </c>
      <c r="C683" s="4">
        <f t="shared" ref="C683:M683" si="191">(0.00131543821211861 / ( 0.0260899569876454 + 0.0904226503711535 + 0.00131543821211861))*0.232533234836611%</f>
        <v>2.5960126997738045E-5</v>
      </c>
      <c r="D683" s="4">
        <f t="shared" si="191"/>
        <v>2.5960126997738045E-5</v>
      </c>
      <c r="E683" s="4">
        <f t="shared" si="191"/>
        <v>2.5960126997738045E-5</v>
      </c>
      <c r="F683" s="4">
        <f t="shared" si="191"/>
        <v>2.5960126997738045E-5</v>
      </c>
      <c r="G683" s="4">
        <f t="shared" si="191"/>
        <v>2.5960126997738045E-5</v>
      </c>
      <c r="H683" s="4">
        <f t="shared" si="191"/>
        <v>2.5960126997738045E-5</v>
      </c>
      <c r="I683" s="4">
        <f t="shared" si="191"/>
        <v>2.5960126997738045E-5</v>
      </c>
      <c r="J683" s="4">
        <f t="shared" si="191"/>
        <v>2.5960126997738045E-5</v>
      </c>
      <c r="K683" s="4">
        <f t="shared" si="191"/>
        <v>2.5960126997738045E-5</v>
      </c>
      <c r="L683" s="4">
        <f t="shared" si="191"/>
        <v>2.5960126997738045E-5</v>
      </c>
      <c r="M683" s="4">
        <f t="shared" si="191"/>
        <v>2.5960126997738045E-5</v>
      </c>
      <c r="N683" t="s">
        <v>242</v>
      </c>
      <c r="O683" t="s">
        <v>317</v>
      </c>
      <c r="P683" t="s">
        <v>305</v>
      </c>
      <c r="Q683" t="s">
        <v>245</v>
      </c>
    </row>
    <row r="684" spans="1:17" x14ac:dyDescent="0.25">
      <c r="A684" t="s">
        <v>305</v>
      </c>
      <c r="B684" t="s">
        <v>112</v>
      </c>
      <c r="C684" s="4">
        <f t="shared" ref="C684:M684" si="192">(0.0260899569876454 / ( 0.0260899569876454 + 0.0904226503711535 + 0.00131543821211861))*0.43354956842264%</f>
        <v>9.5998278995054233E-4</v>
      </c>
      <c r="D684" s="4">
        <f t="shared" si="192"/>
        <v>9.5998278995054233E-4</v>
      </c>
      <c r="E684" s="4">
        <f t="shared" si="192"/>
        <v>9.5998278995054233E-4</v>
      </c>
      <c r="F684" s="4">
        <f t="shared" si="192"/>
        <v>9.5998278995054233E-4</v>
      </c>
      <c r="G684" s="4">
        <f t="shared" si="192"/>
        <v>9.5998278995054233E-4</v>
      </c>
      <c r="H684" s="4">
        <f t="shared" si="192"/>
        <v>9.5998278995054233E-4</v>
      </c>
      <c r="I684" s="4">
        <f t="shared" si="192"/>
        <v>9.5998278995054233E-4</v>
      </c>
      <c r="J684" s="4">
        <f t="shared" si="192"/>
        <v>9.5998278995054233E-4</v>
      </c>
      <c r="K684" s="4">
        <f t="shared" si="192"/>
        <v>9.5998278995054233E-4</v>
      </c>
      <c r="L684" s="4">
        <f t="shared" si="192"/>
        <v>9.5998278995054233E-4</v>
      </c>
      <c r="M684" s="4">
        <f t="shared" si="192"/>
        <v>9.5998278995054233E-4</v>
      </c>
      <c r="N684" t="s">
        <v>242</v>
      </c>
      <c r="O684" t="s">
        <v>315</v>
      </c>
      <c r="P684" t="s">
        <v>305</v>
      </c>
      <c r="Q684" t="s">
        <v>245</v>
      </c>
    </row>
    <row r="685" spans="1:17" x14ac:dyDescent="0.25">
      <c r="A685" t="s">
        <v>305</v>
      </c>
      <c r="B685" t="s">
        <v>112</v>
      </c>
      <c r="C685" s="4">
        <f t="shared" ref="C685:M685" si="193">(0.0904226503711535 / ( 0.0260899569876454 + 0.0904226503711535 + 0.00131543821211861))*0.43354956842264%</f>
        <v>3.3271112029478428E-3</v>
      </c>
      <c r="D685" s="4">
        <f t="shared" si="193"/>
        <v>3.3271112029478428E-3</v>
      </c>
      <c r="E685" s="4">
        <f t="shared" si="193"/>
        <v>3.3271112029478428E-3</v>
      </c>
      <c r="F685" s="4">
        <f t="shared" si="193"/>
        <v>3.3271112029478428E-3</v>
      </c>
      <c r="G685" s="4">
        <f t="shared" si="193"/>
        <v>3.3271112029478428E-3</v>
      </c>
      <c r="H685" s="4">
        <f t="shared" si="193"/>
        <v>3.3271112029478428E-3</v>
      </c>
      <c r="I685" s="4">
        <f t="shared" si="193"/>
        <v>3.3271112029478428E-3</v>
      </c>
      <c r="J685" s="4">
        <f t="shared" si="193"/>
        <v>3.3271112029478428E-3</v>
      </c>
      <c r="K685" s="4">
        <f t="shared" si="193"/>
        <v>3.3271112029478428E-3</v>
      </c>
      <c r="L685" s="4">
        <f t="shared" si="193"/>
        <v>3.3271112029478428E-3</v>
      </c>
      <c r="M685" s="4">
        <f t="shared" si="193"/>
        <v>3.3271112029478428E-3</v>
      </c>
      <c r="N685" t="s">
        <v>242</v>
      </c>
      <c r="O685" t="s">
        <v>316</v>
      </c>
      <c r="P685" t="s">
        <v>305</v>
      </c>
      <c r="Q685" t="s">
        <v>245</v>
      </c>
    </row>
    <row r="686" spans="1:17" x14ac:dyDescent="0.25">
      <c r="A686" t="s">
        <v>305</v>
      </c>
      <c r="B686" t="s">
        <v>112</v>
      </c>
      <c r="C686" s="4">
        <f t="shared" ref="C686:M686" si="194">(0.00131543821211861 / ( 0.0260899569876454 + 0.0904226503711535 + 0.00131543821211861))*0.43354956842264%</f>
        <v>4.8401691328014068E-5</v>
      </c>
      <c r="D686" s="4">
        <f t="shared" si="194"/>
        <v>4.8401691328014068E-5</v>
      </c>
      <c r="E686" s="4">
        <f t="shared" si="194"/>
        <v>4.8401691328014068E-5</v>
      </c>
      <c r="F686" s="4">
        <f t="shared" si="194"/>
        <v>4.8401691328014068E-5</v>
      </c>
      <c r="G686" s="4">
        <f t="shared" si="194"/>
        <v>4.8401691328014068E-5</v>
      </c>
      <c r="H686" s="4">
        <f t="shared" si="194"/>
        <v>4.8401691328014068E-5</v>
      </c>
      <c r="I686" s="4">
        <f t="shared" si="194"/>
        <v>4.8401691328014068E-5</v>
      </c>
      <c r="J686" s="4">
        <f t="shared" si="194"/>
        <v>4.8401691328014068E-5</v>
      </c>
      <c r="K686" s="4">
        <f t="shared" si="194"/>
        <v>4.8401691328014068E-5</v>
      </c>
      <c r="L686" s="4">
        <f t="shared" si="194"/>
        <v>4.8401691328014068E-5</v>
      </c>
      <c r="M686" s="4">
        <f t="shared" si="194"/>
        <v>4.8401691328014068E-5</v>
      </c>
      <c r="N686" t="s">
        <v>242</v>
      </c>
      <c r="O686" t="s">
        <v>317</v>
      </c>
      <c r="P686" t="s">
        <v>305</v>
      </c>
      <c r="Q686" t="s">
        <v>245</v>
      </c>
    </row>
    <row r="687" spans="1:17" x14ac:dyDescent="0.25">
      <c r="A687" t="s">
        <v>305</v>
      </c>
      <c r="B687" t="s">
        <v>113</v>
      </c>
      <c r="C687" s="4">
        <v>5.928636607197893E-2</v>
      </c>
      <c r="D687" s="4">
        <v>5.928636607197893E-2</v>
      </c>
      <c r="E687" s="4">
        <v>5.928636607197893E-2</v>
      </c>
      <c r="F687" s="4">
        <v>5.928636607197893E-2</v>
      </c>
      <c r="G687" s="4">
        <v>5.928636607197893E-2</v>
      </c>
      <c r="H687" s="4">
        <v>5.928636607197893E-2</v>
      </c>
      <c r="I687" s="4">
        <v>5.928636607197893E-2</v>
      </c>
      <c r="J687" s="4">
        <v>5.928636607197893E-2</v>
      </c>
      <c r="K687" s="4">
        <v>5.928636607197893E-2</v>
      </c>
      <c r="L687" s="4">
        <v>5.928636607197893E-2</v>
      </c>
      <c r="M687" s="4">
        <v>5.928636607197893E-2</v>
      </c>
      <c r="N687" t="s">
        <v>276</v>
      </c>
      <c r="O687" t="s">
        <v>306</v>
      </c>
      <c r="P687" t="s">
        <v>305</v>
      </c>
      <c r="Q687" t="s">
        <v>245</v>
      </c>
    </row>
    <row r="688" spans="1:17" x14ac:dyDescent="0.25">
      <c r="A688" t="s">
        <v>305</v>
      </c>
      <c r="B688" t="s">
        <v>180</v>
      </c>
      <c r="C688" s="4">
        <f t="shared" ref="C688:M688" si="195">(0.0260899569876454 / ( 0.0260899569876454 + 0.0904226503711535 + 0.00131543821211861))*0.682129518225249%</f>
        <v>1.5103984543127008E-3</v>
      </c>
      <c r="D688" s="4">
        <f t="shared" si="195"/>
        <v>1.5103984543127008E-3</v>
      </c>
      <c r="E688" s="4">
        <f t="shared" si="195"/>
        <v>1.5103984543127008E-3</v>
      </c>
      <c r="F688" s="4">
        <f t="shared" si="195"/>
        <v>1.5103984543127008E-3</v>
      </c>
      <c r="G688" s="4">
        <f t="shared" si="195"/>
        <v>1.5103984543127008E-3</v>
      </c>
      <c r="H688" s="4">
        <f t="shared" si="195"/>
        <v>1.5103984543127008E-3</v>
      </c>
      <c r="I688" s="4">
        <f t="shared" si="195"/>
        <v>1.5103984543127008E-3</v>
      </c>
      <c r="J688" s="4">
        <f t="shared" si="195"/>
        <v>1.5103984543127008E-3</v>
      </c>
      <c r="K688" s="4">
        <f t="shared" si="195"/>
        <v>1.5103984543127008E-3</v>
      </c>
      <c r="L688" s="4">
        <f t="shared" si="195"/>
        <v>1.5103984543127008E-3</v>
      </c>
      <c r="M688" s="4">
        <f t="shared" si="195"/>
        <v>1.5103984543127008E-3</v>
      </c>
      <c r="N688" t="s">
        <v>242</v>
      </c>
      <c r="O688" t="s">
        <v>315</v>
      </c>
      <c r="P688" t="s">
        <v>305</v>
      </c>
      <c r="Q688" t="s">
        <v>245</v>
      </c>
    </row>
    <row r="689" spans="1:18" x14ac:dyDescent="0.25">
      <c r="A689" t="s">
        <v>305</v>
      </c>
      <c r="B689" t="s">
        <v>180</v>
      </c>
      <c r="C689" s="4">
        <f t="shared" ref="C689:M689" si="196">(0.0904226503711535 / ( 0.0260899569876454 + 0.0904226503711535 + 0.00131543821211861))*0.682129518225249%</f>
        <v>5.2347434463046894E-3</v>
      </c>
      <c r="D689" s="4">
        <f t="shared" si="196"/>
        <v>5.2347434463046894E-3</v>
      </c>
      <c r="E689" s="4">
        <f t="shared" si="196"/>
        <v>5.2347434463046894E-3</v>
      </c>
      <c r="F689" s="4">
        <f t="shared" si="196"/>
        <v>5.2347434463046894E-3</v>
      </c>
      <c r="G689" s="4">
        <f t="shared" si="196"/>
        <v>5.2347434463046894E-3</v>
      </c>
      <c r="H689" s="4">
        <f t="shared" si="196"/>
        <v>5.2347434463046894E-3</v>
      </c>
      <c r="I689" s="4">
        <f t="shared" si="196"/>
        <v>5.2347434463046894E-3</v>
      </c>
      <c r="J689" s="4">
        <f t="shared" si="196"/>
        <v>5.2347434463046894E-3</v>
      </c>
      <c r="K689" s="4">
        <f t="shared" si="196"/>
        <v>5.2347434463046894E-3</v>
      </c>
      <c r="L689" s="4">
        <f t="shared" si="196"/>
        <v>5.2347434463046894E-3</v>
      </c>
      <c r="M689" s="4">
        <f t="shared" si="196"/>
        <v>5.2347434463046894E-3</v>
      </c>
      <c r="N689" t="s">
        <v>242</v>
      </c>
      <c r="O689" t="s">
        <v>316</v>
      </c>
      <c r="P689" t="s">
        <v>305</v>
      </c>
      <c r="Q689" t="s">
        <v>245</v>
      </c>
    </row>
    <row r="690" spans="1:18" x14ac:dyDescent="0.25">
      <c r="A690" t="s">
        <v>305</v>
      </c>
      <c r="B690" t="s">
        <v>180</v>
      </c>
      <c r="C690" s="4">
        <f t="shared" ref="C690:M690" si="197">(0.00131543821211861 / ( 0.0260899569876454 + 0.0904226503711535 + 0.00131543821211861))*0.682129518225249%</f>
        <v>7.6153281635100211E-5</v>
      </c>
      <c r="D690" s="4">
        <f t="shared" si="197"/>
        <v>7.6153281635100211E-5</v>
      </c>
      <c r="E690" s="4">
        <f t="shared" si="197"/>
        <v>7.6153281635100211E-5</v>
      </c>
      <c r="F690" s="4">
        <f t="shared" si="197"/>
        <v>7.6153281635100211E-5</v>
      </c>
      <c r="G690" s="4">
        <f t="shared" si="197"/>
        <v>7.6153281635100211E-5</v>
      </c>
      <c r="H690" s="4">
        <f t="shared" si="197"/>
        <v>7.6153281635100211E-5</v>
      </c>
      <c r="I690" s="4">
        <f t="shared" si="197"/>
        <v>7.6153281635100211E-5</v>
      </c>
      <c r="J690" s="4">
        <f t="shared" si="197"/>
        <v>7.6153281635100211E-5</v>
      </c>
      <c r="K690" s="4">
        <f t="shared" si="197"/>
        <v>7.6153281635100211E-5</v>
      </c>
      <c r="L690" s="4">
        <f t="shared" si="197"/>
        <v>7.6153281635100211E-5</v>
      </c>
      <c r="M690" s="4">
        <f t="shared" si="197"/>
        <v>7.6153281635100211E-5</v>
      </c>
      <c r="N690" t="s">
        <v>242</v>
      </c>
      <c r="O690" t="s">
        <v>317</v>
      </c>
      <c r="P690" t="s">
        <v>305</v>
      </c>
      <c r="Q690" t="s">
        <v>245</v>
      </c>
    </row>
    <row r="691" spans="1:18" x14ac:dyDescent="0.25">
      <c r="A691" t="s">
        <v>305</v>
      </c>
      <c r="B691" t="s">
        <v>115</v>
      </c>
      <c r="C691" s="4">
        <f t="shared" ref="C691:M691" si="198">(0.0260899569876454 / ( 0.0260899569876454 + 0.0904226503711535 + 0.00131543821211861))*0.136674771859193%</f>
        <v>3.0263074481333147E-4</v>
      </c>
      <c r="D691" s="4">
        <f t="shared" si="198"/>
        <v>3.0263074481333147E-4</v>
      </c>
      <c r="E691" s="4">
        <f t="shared" si="198"/>
        <v>3.0263074481333147E-4</v>
      </c>
      <c r="F691" s="4">
        <f t="shared" si="198"/>
        <v>3.0263074481333147E-4</v>
      </c>
      <c r="G691" s="4">
        <f t="shared" si="198"/>
        <v>3.0263074481333147E-4</v>
      </c>
      <c r="H691" s="4">
        <f t="shared" si="198"/>
        <v>3.0263074481333147E-4</v>
      </c>
      <c r="I691" s="4">
        <f t="shared" si="198"/>
        <v>3.0263074481333147E-4</v>
      </c>
      <c r="J691" s="4">
        <f t="shared" si="198"/>
        <v>3.0263074481333147E-4</v>
      </c>
      <c r="K691" s="4">
        <f t="shared" si="198"/>
        <v>3.0263074481333147E-4</v>
      </c>
      <c r="L691" s="4">
        <f t="shared" si="198"/>
        <v>3.0263074481333147E-4</v>
      </c>
      <c r="M691" s="4">
        <f t="shared" si="198"/>
        <v>3.0263074481333147E-4</v>
      </c>
      <c r="N691" t="s">
        <v>242</v>
      </c>
      <c r="O691" t="s">
        <v>315</v>
      </c>
      <c r="P691" t="s">
        <v>305</v>
      </c>
      <c r="Q691" t="s">
        <v>245</v>
      </c>
    </row>
    <row r="692" spans="1:18" x14ac:dyDescent="0.25">
      <c r="A692" t="s">
        <v>305</v>
      </c>
      <c r="B692" t="s">
        <v>115</v>
      </c>
      <c r="C692" s="4">
        <f t="shared" ref="C692:M692" si="199">(0.0904226503711535 / ( 0.0260899569876454 + 0.0904226503711535 + 0.00131543821211861))*0.136674771859193%</f>
        <v>1.0488585336792956E-3</v>
      </c>
      <c r="D692" s="4">
        <f t="shared" si="199"/>
        <v>1.0488585336792956E-3</v>
      </c>
      <c r="E692" s="4">
        <f t="shared" si="199"/>
        <v>1.0488585336792956E-3</v>
      </c>
      <c r="F692" s="4">
        <f t="shared" si="199"/>
        <v>1.0488585336792956E-3</v>
      </c>
      <c r="G692" s="4">
        <f t="shared" si="199"/>
        <v>1.0488585336792956E-3</v>
      </c>
      <c r="H692" s="4">
        <f t="shared" si="199"/>
        <v>1.0488585336792956E-3</v>
      </c>
      <c r="I692" s="4">
        <f t="shared" si="199"/>
        <v>1.0488585336792956E-3</v>
      </c>
      <c r="J692" s="4">
        <f t="shared" si="199"/>
        <v>1.0488585336792956E-3</v>
      </c>
      <c r="K692" s="4">
        <f t="shared" si="199"/>
        <v>1.0488585336792956E-3</v>
      </c>
      <c r="L692" s="4">
        <f t="shared" si="199"/>
        <v>1.0488585336792956E-3</v>
      </c>
      <c r="M692" s="4">
        <f t="shared" si="199"/>
        <v>1.0488585336792956E-3</v>
      </c>
      <c r="N692" t="s">
        <v>242</v>
      </c>
      <c r="O692" t="s">
        <v>316</v>
      </c>
      <c r="P692" t="s">
        <v>305</v>
      </c>
      <c r="Q692" t="s">
        <v>245</v>
      </c>
    </row>
    <row r="693" spans="1:18" x14ac:dyDescent="0.25">
      <c r="A693" t="s">
        <v>305</v>
      </c>
      <c r="B693" t="s">
        <v>115</v>
      </c>
      <c r="C693" s="4">
        <f t="shared" ref="C693:M693" si="200">(0.00131543821211861 / ( 0.0260899569876454 + 0.0904226503711535 + 0.00131543821211861))*0.136674771859193%</f>
        <v>1.525844009930273E-5</v>
      </c>
      <c r="D693" s="4">
        <f t="shared" si="200"/>
        <v>1.525844009930273E-5</v>
      </c>
      <c r="E693" s="4">
        <f t="shared" si="200"/>
        <v>1.525844009930273E-5</v>
      </c>
      <c r="F693" s="4">
        <f t="shared" si="200"/>
        <v>1.525844009930273E-5</v>
      </c>
      <c r="G693" s="4">
        <f t="shared" si="200"/>
        <v>1.525844009930273E-5</v>
      </c>
      <c r="H693" s="4">
        <f t="shared" si="200"/>
        <v>1.525844009930273E-5</v>
      </c>
      <c r="I693" s="4">
        <f t="shared" si="200"/>
        <v>1.525844009930273E-5</v>
      </c>
      <c r="J693" s="4">
        <f t="shared" si="200"/>
        <v>1.525844009930273E-5</v>
      </c>
      <c r="K693" s="4">
        <f t="shared" si="200"/>
        <v>1.525844009930273E-5</v>
      </c>
      <c r="L693" s="4">
        <f t="shared" si="200"/>
        <v>1.525844009930273E-5</v>
      </c>
      <c r="M693" s="4">
        <f t="shared" si="200"/>
        <v>1.525844009930273E-5</v>
      </c>
      <c r="N693" t="s">
        <v>242</v>
      </c>
      <c r="O693" t="s">
        <v>317</v>
      </c>
      <c r="P693" t="s">
        <v>305</v>
      </c>
      <c r="Q693" t="s">
        <v>245</v>
      </c>
    </row>
    <row r="694" spans="1:18" x14ac:dyDescent="0.25">
      <c r="A694" t="s">
        <v>305</v>
      </c>
      <c r="B694" t="s">
        <v>143</v>
      </c>
      <c r="C694" s="4">
        <v>3.9707673053851769E-2</v>
      </c>
      <c r="D694" s="4">
        <v>3.9707673053851769E-2</v>
      </c>
      <c r="E694" s="4">
        <v>3.9707673053851769E-2</v>
      </c>
      <c r="F694" s="4">
        <v>3.9707673053851769E-2</v>
      </c>
      <c r="G694" s="4">
        <v>3.9707673053851769E-2</v>
      </c>
      <c r="H694" s="4">
        <v>3.9707673053851769E-2</v>
      </c>
      <c r="I694" s="4">
        <v>3.9707673053851769E-2</v>
      </c>
      <c r="J694" s="4">
        <v>3.9707673053851769E-2</v>
      </c>
      <c r="K694" s="4">
        <v>3.9707673053851769E-2</v>
      </c>
      <c r="L694" s="4">
        <v>3.9707673053851769E-2</v>
      </c>
      <c r="M694" s="4">
        <v>3.9707673053851769E-2</v>
      </c>
      <c r="N694" t="s">
        <v>314</v>
      </c>
      <c r="O694" t="s">
        <v>306</v>
      </c>
      <c r="P694" t="s">
        <v>305</v>
      </c>
      <c r="Q694" t="s">
        <v>245</v>
      </c>
    </row>
    <row r="695" spans="1:18" x14ac:dyDescent="0.25">
      <c r="A695" t="s">
        <v>305</v>
      </c>
      <c r="B695" t="s">
        <v>158</v>
      </c>
      <c r="C695" s="4">
        <f t="shared" ref="C695:M695" si="201">(0.0260899569876454 / ( 0.0260899569876454 + 0.0904226503711535 + 0.00131543821211861))*0.0415091041806065%</f>
        <v>9.191111822489703E-5</v>
      </c>
      <c r="D695" s="4">
        <f t="shared" si="201"/>
        <v>9.191111822489703E-5</v>
      </c>
      <c r="E695" s="4">
        <f t="shared" si="201"/>
        <v>9.191111822489703E-5</v>
      </c>
      <c r="F695" s="4">
        <f t="shared" si="201"/>
        <v>9.191111822489703E-5</v>
      </c>
      <c r="G695" s="4">
        <f t="shared" si="201"/>
        <v>9.191111822489703E-5</v>
      </c>
      <c r="H695" s="4">
        <f t="shared" si="201"/>
        <v>9.191111822489703E-5</v>
      </c>
      <c r="I695" s="4">
        <f t="shared" si="201"/>
        <v>9.191111822489703E-5</v>
      </c>
      <c r="J695" s="4">
        <f t="shared" si="201"/>
        <v>9.191111822489703E-5</v>
      </c>
      <c r="K695" s="4">
        <f t="shared" si="201"/>
        <v>9.191111822489703E-5</v>
      </c>
      <c r="L695" s="4">
        <f t="shared" si="201"/>
        <v>9.191111822489703E-5</v>
      </c>
      <c r="M695" s="4">
        <f t="shared" si="201"/>
        <v>9.191111822489703E-5</v>
      </c>
      <c r="N695" t="s">
        <v>242</v>
      </c>
      <c r="O695" t="s">
        <v>315</v>
      </c>
      <c r="P695" t="s">
        <v>305</v>
      </c>
      <c r="Q695" t="s">
        <v>245</v>
      </c>
    </row>
    <row r="696" spans="1:18" x14ac:dyDescent="0.25">
      <c r="A696" t="s">
        <v>305</v>
      </c>
      <c r="B696" t="s">
        <v>158</v>
      </c>
      <c r="C696" s="4">
        <f t="shared" ref="C696:M696" si="202">(0.0904226503711535 / ( 0.0260899569876454 + 0.0904226503711535 + 0.00131543821211861))*0.0415091041806065%</f>
        <v>3.185458263655676E-4</v>
      </c>
      <c r="D696" s="4">
        <f t="shared" si="202"/>
        <v>3.185458263655676E-4</v>
      </c>
      <c r="E696" s="4">
        <f t="shared" si="202"/>
        <v>3.185458263655676E-4</v>
      </c>
      <c r="F696" s="4">
        <f t="shared" si="202"/>
        <v>3.185458263655676E-4</v>
      </c>
      <c r="G696" s="4">
        <f t="shared" si="202"/>
        <v>3.185458263655676E-4</v>
      </c>
      <c r="H696" s="4">
        <f t="shared" si="202"/>
        <v>3.185458263655676E-4</v>
      </c>
      <c r="I696" s="4">
        <f t="shared" si="202"/>
        <v>3.185458263655676E-4</v>
      </c>
      <c r="J696" s="4">
        <f t="shared" si="202"/>
        <v>3.185458263655676E-4</v>
      </c>
      <c r="K696" s="4">
        <f t="shared" si="202"/>
        <v>3.185458263655676E-4</v>
      </c>
      <c r="L696" s="4">
        <f t="shared" si="202"/>
        <v>3.185458263655676E-4</v>
      </c>
      <c r="M696" s="4">
        <f t="shared" si="202"/>
        <v>3.185458263655676E-4</v>
      </c>
      <c r="N696" t="s">
        <v>242</v>
      </c>
      <c r="O696" t="s">
        <v>316</v>
      </c>
      <c r="P696" t="s">
        <v>305</v>
      </c>
      <c r="Q696" t="s">
        <v>245</v>
      </c>
    </row>
    <row r="697" spans="1:18" x14ac:dyDescent="0.25">
      <c r="A697" t="s">
        <v>305</v>
      </c>
      <c r="B697" t="s">
        <v>158</v>
      </c>
      <c r="C697" s="4">
        <f t="shared" ref="C697:M697" si="203">(0.00131543821211861 / ( 0.0260899569876454 + 0.0904226503711535 + 0.00131543821211861))*0.0415091041806065%</f>
        <v>4.6340972156003608E-6</v>
      </c>
      <c r="D697" s="4">
        <f t="shared" si="203"/>
        <v>4.6340972156003608E-6</v>
      </c>
      <c r="E697" s="4">
        <f t="shared" si="203"/>
        <v>4.6340972156003608E-6</v>
      </c>
      <c r="F697" s="4">
        <f t="shared" si="203"/>
        <v>4.6340972156003608E-6</v>
      </c>
      <c r="G697" s="4">
        <f t="shared" si="203"/>
        <v>4.6340972156003608E-6</v>
      </c>
      <c r="H697" s="4">
        <f t="shared" si="203"/>
        <v>4.6340972156003608E-6</v>
      </c>
      <c r="I697" s="4">
        <f t="shared" si="203"/>
        <v>4.6340972156003608E-6</v>
      </c>
      <c r="J697" s="4">
        <f t="shared" si="203"/>
        <v>4.6340972156003608E-6</v>
      </c>
      <c r="K697" s="4">
        <f t="shared" si="203"/>
        <v>4.6340972156003608E-6</v>
      </c>
      <c r="L697" s="4">
        <f t="shared" si="203"/>
        <v>4.6340972156003608E-6</v>
      </c>
      <c r="M697" s="4">
        <f t="shared" si="203"/>
        <v>4.6340972156003608E-6</v>
      </c>
      <c r="N697" t="s">
        <v>242</v>
      </c>
      <c r="O697" t="s">
        <v>317</v>
      </c>
      <c r="P697" t="s">
        <v>305</v>
      </c>
      <c r="Q697" t="s">
        <v>245</v>
      </c>
    </row>
    <row r="698" spans="1:18" x14ac:dyDescent="0.25">
      <c r="A698" t="s">
        <v>319</v>
      </c>
      <c r="B698" t="s">
        <v>164</v>
      </c>
      <c r="C698" s="4">
        <v>2.4480106062796852E-4</v>
      </c>
      <c r="D698" s="4">
        <v>2.4480106062796852E-4</v>
      </c>
      <c r="E698" s="4">
        <v>2.4480106062796852E-4</v>
      </c>
      <c r="F698" s="4">
        <v>2.4480106062796852E-4</v>
      </c>
      <c r="G698" s="4">
        <v>2.4480106062796852E-4</v>
      </c>
      <c r="H698" s="4">
        <v>2.4480106062796852E-4</v>
      </c>
      <c r="I698" s="4">
        <v>2.4480106062796852E-4</v>
      </c>
      <c r="J698" s="4">
        <v>2.4480106062796852E-4</v>
      </c>
      <c r="K698" s="4">
        <v>2.4480106062796852E-4</v>
      </c>
      <c r="L698" s="4">
        <v>2.4480106062796852E-4</v>
      </c>
      <c r="M698" s="4">
        <v>2.4480106062796852E-4</v>
      </c>
      <c r="N698" t="s">
        <v>256</v>
      </c>
      <c r="O698" t="s">
        <v>318</v>
      </c>
      <c r="P698" t="s">
        <v>319</v>
      </c>
      <c r="Q698" t="s">
        <v>245</v>
      </c>
      <c r="R698" t="s">
        <v>561</v>
      </c>
    </row>
    <row r="699" spans="1:18" x14ac:dyDescent="0.25">
      <c r="A699" t="s">
        <v>319</v>
      </c>
      <c r="B699" t="s">
        <v>83</v>
      </c>
      <c r="C699" s="4">
        <v>2.2311936760906131E-2</v>
      </c>
      <c r="D699" s="4">
        <v>2.2311936760906131E-2</v>
      </c>
      <c r="E699" s="4">
        <v>2.2311936760906131E-2</v>
      </c>
      <c r="F699" s="4">
        <v>2.2311936760906131E-2</v>
      </c>
      <c r="G699" s="4">
        <v>2.2311936760906131E-2</v>
      </c>
      <c r="H699" s="4">
        <v>2.2311936760906131E-2</v>
      </c>
      <c r="I699" s="4">
        <v>2.2311936760906131E-2</v>
      </c>
      <c r="J699" s="4">
        <v>2.2311936760906131E-2</v>
      </c>
      <c r="K699" s="4">
        <v>2.2311936760906131E-2</v>
      </c>
      <c r="L699" s="4">
        <v>2.2311936760906131E-2</v>
      </c>
      <c r="M699" s="4">
        <v>2.2311936760906131E-2</v>
      </c>
      <c r="N699" t="s">
        <v>256</v>
      </c>
      <c r="O699" t="s">
        <v>318</v>
      </c>
      <c r="P699" t="s">
        <v>319</v>
      </c>
      <c r="Q699" t="s">
        <v>245</v>
      </c>
    </row>
    <row r="700" spans="1:18" x14ac:dyDescent="0.25">
      <c r="A700" t="s">
        <v>319</v>
      </c>
      <c r="B700" t="s">
        <v>85</v>
      </c>
      <c r="C700" s="4">
        <v>5.7056161386664249E-3</v>
      </c>
      <c r="D700" s="4">
        <v>5.7056161386664249E-3</v>
      </c>
      <c r="E700" s="4">
        <v>5.7056161386664249E-3</v>
      </c>
      <c r="F700" s="4">
        <v>5.7056161386664249E-3</v>
      </c>
      <c r="G700" s="4">
        <v>5.7056161386664249E-3</v>
      </c>
      <c r="H700" s="4">
        <v>5.7056161386664249E-3</v>
      </c>
      <c r="I700" s="4">
        <v>5.7056161386664249E-3</v>
      </c>
      <c r="J700" s="4">
        <v>5.7056161386664249E-3</v>
      </c>
      <c r="K700" s="4">
        <v>5.7056161386664249E-3</v>
      </c>
      <c r="L700" s="4">
        <v>5.7056161386664249E-3</v>
      </c>
      <c r="M700" s="4">
        <v>5.7056161386664249E-3</v>
      </c>
      <c r="N700" t="s">
        <v>256</v>
      </c>
      <c r="O700" t="s">
        <v>318</v>
      </c>
      <c r="P700" t="s">
        <v>319</v>
      </c>
      <c r="Q700" t="s">
        <v>245</v>
      </c>
    </row>
    <row r="701" spans="1:18" x14ac:dyDescent="0.25">
      <c r="A701" t="s">
        <v>319</v>
      </c>
      <c r="B701" t="s">
        <v>147</v>
      </c>
      <c r="C701" s="4">
        <v>1.6585793533974231E-2</v>
      </c>
      <c r="D701" s="4">
        <v>1.6585793533974231E-2</v>
      </c>
      <c r="E701" s="4">
        <v>1.6585793533974231E-2</v>
      </c>
      <c r="F701" s="4">
        <v>1.6585793533974231E-2</v>
      </c>
      <c r="G701" s="4">
        <v>1.6585793533974231E-2</v>
      </c>
      <c r="H701" s="4">
        <v>1.6585793533974231E-2</v>
      </c>
      <c r="I701" s="4">
        <v>1.6585793533974231E-2</v>
      </c>
      <c r="J701" s="4">
        <v>1.6585793533974231E-2</v>
      </c>
      <c r="K701" s="4">
        <v>1.6585793533974231E-2</v>
      </c>
      <c r="L701" s="4">
        <v>1.6585793533974231E-2</v>
      </c>
      <c r="M701" s="4">
        <v>1.6585793533974231E-2</v>
      </c>
      <c r="N701" t="s">
        <v>256</v>
      </c>
      <c r="O701" t="s">
        <v>318</v>
      </c>
      <c r="P701" t="s">
        <v>319</v>
      </c>
      <c r="Q701" t="s">
        <v>245</v>
      </c>
    </row>
    <row r="702" spans="1:18" x14ac:dyDescent="0.25">
      <c r="A702" t="s">
        <v>319</v>
      </c>
      <c r="B702" t="s">
        <v>116</v>
      </c>
      <c r="C702" s="4">
        <v>1.699258391821858E-2</v>
      </c>
      <c r="D702" s="4">
        <v>1.699258391821858E-2</v>
      </c>
      <c r="E702" s="4">
        <v>1.699258391821858E-2</v>
      </c>
      <c r="F702" s="4">
        <v>1.699258391821858E-2</v>
      </c>
      <c r="G702" s="4">
        <v>1.699258391821858E-2</v>
      </c>
      <c r="H702" s="4">
        <v>1.699258391821858E-2</v>
      </c>
      <c r="I702" s="4">
        <v>1.699258391821858E-2</v>
      </c>
      <c r="J702" s="4">
        <v>1.699258391821858E-2</v>
      </c>
      <c r="K702" s="4">
        <v>1.699258391821858E-2</v>
      </c>
      <c r="L702" s="4">
        <v>1.699258391821858E-2</v>
      </c>
      <c r="M702" s="4">
        <v>1.699258391821858E-2</v>
      </c>
      <c r="N702" t="s">
        <v>256</v>
      </c>
      <c r="O702" t="s">
        <v>318</v>
      </c>
      <c r="P702" t="s">
        <v>319</v>
      </c>
      <c r="Q702" t="s">
        <v>245</v>
      </c>
    </row>
    <row r="703" spans="1:18" x14ac:dyDescent="0.25">
      <c r="A703" t="s">
        <v>319</v>
      </c>
      <c r="B703" t="s">
        <v>145</v>
      </c>
      <c r="C703" s="4">
        <v>6.9574051078194976E-2</v>
      </c>
      <c r="D703" s="4">
        <v>6.9574051078194976E-2</v>
      </c>
      <c r="E703" s="4">
        <v>6.9574051078194976E-2</v>
      </c>
      <c r="F703" s="4">
        <v>6.9574051078194976E-2</v>
      </c>
      <c r="G703" s="4">
        <v>6.9574051078194976E-2</v>
      </c>
      <c r="H703" s="4">
        <v>6.9574051078194976E-2</v>
      </c>
      <c r="I703" s="4">
        <v>6.9574051078194976E-2</v>
      </c>
      <c r="J703" s="4">
        <v>6.9574051078194976E-2</v>
      </c>
      <c r="K703" s="4">
        <v>6.9574051078194976E-2</v>
      </c>
      <c r="L703" s="4">
        <v>6.9574051078194976E-2</v>
      </c>
      <c r="M703" s="4">
        <v>6.9574051078194976E-2</v>
      </c>
      <c r="N703" t="s">
        <v>311</v>
      </c>
      <c r="O703" t="s">
        <v>318</v>
      </c>
      <c r="P703" t="s">
        <v>319</v>
      </c>
      <c r="Q703" t="s">
        <v>245</v>
      </c>
    </row>
    <row r="704" spans="1:18" x14ac:dyDescent="0.25">
      <c r="A704" t="s">
        <v>319</v>
      </c>
      <c r="B704" t="s">
        <v>86</v>
      </c>
      <c r="C704" s="4">
        <v>0.41947375673311349</v>
      </c>
      <c r="D704" s="4">
        <v>0.41947375673311349</v>
      </c>
      <c r="E704" s="4">
        <v>0.41947375673311349</v>
      </c>
      <c r="F704" s="4">
        <v>0.41947375673311349</v>
      </c>
      <c r="G704" s="4">
        <v>0.41947375673311349</v>
      </c>
      <c r="H704" s="4">
        <v>0.41947375673311349</v>
      </c>
      <c r="I704" s="4">
        <v>0.41947375673311349</v>
      </c>
      <c r="J704" s="4">
        <v>0.41947375673311349</v>
      </c>
      <c r="K704" s="4">
        <v>0.41947375673311349</v>
      </c>
      <c r="L704" s="4">
        <v>0.41947375673311349</v>
      </c>
      <c r="M704" s="4">
        <v>0.41947375673311349</v>
      </c>
      <c r="N704" t="s">
        <v>254</v>
      </c>
      <c r="O704" t="s">
        <v>318</v>
      </c>
      <c r="P704" t="s">
        <v>319</v>
      </c>
      <c r="Q704" t="s">
        <v>245</v>
      </c>
    </row>
    <row r="705" spans="1:17" x14ac:dyDescent="0.25">
      <c r="A705" t="s">
        <v>319</v>
      </c>
      <c r="B705" t="s">
        <v>159</v>
      </c>
      <c r="C705" s="4">
        <v>3.2801138187772052E-3</v>
      </c>
      <c r="D705" s="4">
        <v>3.2801138187772052E-3</v>
      </c>
      <c r="E705" s="4">
        <v>3.2801138187772052E-3</v>
      </c>
      <c r="F705" s="4">
        <v>3.2801138187772052E-3</v>
      </c>
      <c r="G705" s="4">
        <v>3.2801138187772052E-3</v>
      </c>
      <c r="H705" s="4">
        <v>3.2801138187772052E-3</v>
      </c>
      <c r="I705" s="4">
        <v>3.2801138187772052E-3</v>
      </c>
      <c r="J705" s="4">
        <v>3.2801138187772052E-3</v>
      </c>
      <c r="K705" s="4">
        <v>3.2801138187772052E-3</v>
      </c>
      <c r="L705" s="4">
        <v>3.2801138187772052E-3</v>
      </c>
      <c r="M705" s="4">
        <v>3.2801138187772052E-3</v>
      </c>
      <c r="N705" t="s">
        <v>242</v>
      </c>
      <c r="O705" t="s">
        <v>289</v>
      </c>
      <c r="P705" t="s">
        <v>319</v>
      </c>
      <c r="Q705" t="s">
        <v>245</v>
      </c>
    </row>
    <row r="706" spans="1:17" x14ac:dyDescent="0.25">
      <c r="A706" t="s">
        <v>319</v>
      </c>
      <c r="B706" t="s">
        <v>154</v>
      </c>
      <c r="C706" s="4">
        <v>8.0830538886593386E-3</v>
      </c>
      <c r="D706" s="4">
        <v>8.0830538886593386E-3</v>
      </c>
      <c r="E706" s="4">
        <v>8.0830538886593386E-3</v>
      </c>
      <c r="F706" s="4">
        <v>8.0830538886593386E-3</v>
      </c>
      <c r="G706" s="4">
        <v>8.0830538886593386E-3</v>
      </c>
      <c r="H706" s="4">
        <v>8.0830538886593386E-3</v>
      </c>
      <c r="I706" s="4">
        <v>8.0830538886593386E-3</v>
      </c>
      <c r="J706" s="4">
        <v>8.0830538886593386E-3</v>
      </c>
      <c r="K706" s="4">
        <v>8.0830538886593386E-3</v>
      </c>
      <c r="L706" s="4">
        <v>8.0830538886593386E-3</v>
      </c>
      <c r="M706" s="4">
        <v>8.0830538886593386E-3</v>
      </c>
      <c r="N706" t="s">
        <v>256</v>
      </c>
      <c r="O706" t="s">
        <v>318</v>
      </c>
      <c r="P706" t="s">
        <v>319</v>
      </c>
      <c r="Q706" t="s">
        <v>245</v>
      </c>
    </row>
    <row r="707" spans="1:17" x14ac:dyDescent="0.25">
      <c r="A707" t="s">
        <v>319</v>
      </c>
      <c r="B707" t="s">
        <v>117</v>
      </c>
      <c r="C707" s="4">
        <v>1.8112136704827669E-2</v>
      </c>
      <c r="D707" s="4">
        <v>1.8112136704827669E-2</v>
      </c>
      <c r="E707" s="4">
        <v>1.8112136704827669E-2</v>
      </c>
      <c r="F707" s="4">
        <v>1.8112136704827669E-2</v>
      </c>
      <c r="G707" s="4">
        <v>1.8112136704827669E-2</v>
      </c>
      <c r="H707" s="4">
        <v>1.8112136704827669E-2</v>
      </c>
      <c r="I707" s="4">
        <v>1.8112136704827669E-2</v>
      </c>
      <c r="J707" s="4">
        <v>1.8112136704827669E-2</v>
      </c>
      <c r="K707" s="4">
        <v>1.8112136704827669E-2</v>
      </c>
      <c r="L707" s="4">
        <v>1.8112136704827669E-2</v>
      </c>
      <c r="M707" s="4">
        <v>1.8112136704827669E-2</v>
      </c>
      <c r="N707" t="s">
        <v>256</v>
      </c>
      <c r="O707" t="s">
        <v>318</v>
      </c>
      <c r="P707" t="s">
        <v>319</v>
      </c>
      <c r="Q707" t="s">
        <v>245</v>
      </c>
    </row>
    <row r="708" spans="1:17" x14ac:dyDescent="0.25">
      <c r="A708" t="s">
        <v>319</v>
      </c>
      <c r="B708" t="s">
        <v>97</v>
      </c>
      <c r="C708" s="4">
        <v>2.6518747210349951E-2</v>
      </c>
      <c r="D708" s="4">
        <v>2.6518747210349951E-2</v>
      </c>
      <c r="E708" s="4">
        <v>2.6518747210349951E-2</v>
      </c>
      <c r="F708" s="4">
        <v>2.6518747210349951E-2</v>
      </c>
      <c r="G708" s="4">
        <v>2.6518747210349951E-2</v>
      </c>
      <c r="H708" s="4">
        <v>2.6518747210349951E-2</v>
      </c>
      <c r="I708" s="4">
        <v>2.6518747210349951E-2</v>
      </c>
      <c r="J708" s="4">
        <v>2.6518747210349951E-2</v>
      </c>
      <c r="K708" s="4">
        <v>2.6518747210349951E-2</v>
      </c>
      <c r="L708" s="4">
        <v>2.6518747210349951E-2</v>
      </c>
      <c r="M708" s="4">
        <v>2.6518747210349951E-2</v>
      </c>
      <c r="N708" t="s">
        <v>308</v>
      </c>
      <c r="O708" t="s">
        <v>318</v>
      </c>
      <c r="P708" t="s">
        <v>319</v>
      </c>
      <c r="Q708" t="s">
        <v>245</v>
      </c>
    </row>
    <row r="709" spans="1:17" x14ac:dyDescent="0.25">
      <c r="A709" t="s">
        <v>319</v>
      </c>
      <c r="B709" t="s">
        <v>98</v>
      </c>
      <c r="C709" s="4">
        <v>1.533377010350459E-2</v>
      </c>
      <c r="D709" s="4">
        <v>1.533377010350459E-2</v>
      </c>
      <c r="E709" s="4">
        <v>1.533377010350459E-2</v>
      </c>
      <c r="F709" s="4">
        <v>1.533377010350459E-2</v>
      </c>
      <c r="G709" s="4">
        <v>1.533377010350459E-2</v>
      </c>
      <c r="H709" s="4">
        <v>1.533377010350459E-2</v>
      </c>
      <c r="I709" s="4">
        <v>1.533377010350459E-2</v>
      </c>
      <c r="J709" s="4">
        <v>1.533377010350459E-2</v>
      </c>
      <c r="K709" s="4">
        <v>1.533377010350459E-2</v>
      </c>
      <c r="L709" s="4">
        <v>1.533377010350459E-2</v>
      </c>
      <c r="M709" s="4">
        <v>1.533377010350459E-2</v>
      </c>
      <c r="N709" t="s">
        <v>321</v>
      </c>
      <c r="O709" t="s">
        <v>318</v>
      </c>
      <c r="P709" t="s">
        <v>319</v>
      </c>
      <c r="Q709" t="s">
        <v>245</v>
      </c>
    </row>
    <row r="710" spans="1:17" x14ac:dyDescent="0.25">
      <c r="A710" t="s">
        <v>319</v>
      </c>
      <c r="B710" t="s">
        <v>99</v>
      </c>
      <c r="C710" s="4">
        <v>1.159997363716956E-2</v>
      </c>
      <c r="D710" s="4">
        <v>1.159997363716956E-2</v>
      </c>
      <c r="E710" s="4">
        <v>1.159997363716956E-2</v>
      </c>
      <c r="F710" s="4">
        <v>1.159997363716956E-2</v>
      </c>
      <c r="G710" s="4">
        <v>1.159997363716956E-2</v>
      </c>
      <c r="H710" s="4">
        <v>1.159997363716956E-2</v>
      </c>
      <c r="I710" s="4">
        <v>1.159997363716956E-2</v>
      </c>
      <c r="J710" s="4">
        <v>1.159997363716956E-2</v>
      </c>
      <c r="K710" s="4">
        <v>1.159997363716956E-2</v>
      </c>
      <c r="L710" s="4">
        <v>1.159997363716956E-2</v>
      </c>
      <c r="M710" s="4">
        <v>1.159997363716956E-2</v>
      </c>
      <c r="N710" t="s">
        <v>256</v>
      </c>
      <c r="O710" t="s">
        <v>318</v>
      </c>
      <c r="P710" t="s">
        <v>319</v>
      </c>
      <c r="Q710" t="s">
        <v>245</v>
      </c>
    </row>
    <row r="711" spans="1:17" x14ac:dyDescent="0.25">
      <c r="A711" t="s">
        <v>319</v>
      </c>
      <c r="B711" t="s">
        <v>119</v>
      </c>
      <c r="C711" s="4">
        <v>7.1247624232786883E-2</v>
      </c>
      <c r="D711" s="4">
        <v>7.1247624232786883E-2</v>
      </c>
      <c r="E711" s="4">
        <v>7.1247624232786883E-2</v>
      </c>
      <c r="F711" s="4">
        <v>7.1247624232786883E-2</v>
      </c>
      <c r="G711" s="4">
        <v>7.1247624232786883E-2</v>
      </c>
      <c r="H711" s="4">
        <v>7.1247624232786883E-2</v>
      </c>
      <c r="I711" s="4">
        <v>7.1247624232786883E-2</v>
      </c>
      <c r="J711" s="4">
        <v>7.1247624232786883E-2</v>
      </c>
      <c r="K711" s="4">
        <v>7.1247624232786883E-2</v>
      </c>
      <c r="L711" s="4">
        <v>7.1247624232786883E-2</v>
      </c>
      <c r="M711" s="4">
        <v>7.1247624232786883E-2</v>
      </c>
      <c r="N711" t="s">
        <v>256</v>
      </c>
      <c r="O711" t="s">
        <v>318</v>
      </c>
      <c r="P711" t="s">
        <v>319</v>
      </c>
      <c r="Q711" t="s">
        <v>245</v>
      </c>
    </row>
    <row r="712" spans="1:17" x14ac:dyDescent="0.25">
      <c r="A712" t="s">
        <v>319</v>
      </c>
      <c r="B712" t="s">
        <v>102</v>
      </c>
      <c r="C712" s="4">
        <v>1.778154624846771E-2</v>
      </c>
      <c r="D712" s="4">
        <v>1.778154624846771E-2</v>
      </c>
      <c r="E712" s="4">
        <v>1.778154624846771E-2</v>
      </c>
      <c r="F712" s="4">
        <v>1.778154624846771E-2</v>
      </c>
      <c r="G712" s="4">
        <v>1.778154624846771E-2</v>
      </c>
      <c r="H712" s="4">
        <v>1.778154624846771E-2</v>
      </c>
      <c r="I712" s="4">
        <v>1.778154624846771E-2</v>
      </c>
      <c r="J712" s="4">
        <v>1.778154624846771E-2</v>
      </c>
      <c r="K712" s="4">
        <v>1.778154624846771E-2</v>
      </c>
      <c r="L712" s="4">
        <v>1.778154624846771E-2</v>
      </c>
      <c r="M712" s="4">
        <v>1.778154624846771E-2</v>
      </c>
      <c r="N712" t="s">
        <v>256</v>
      </c>
      <c r="O712" t="s">
        <v>318</v>
      </c>
      <c r="P712" t="s">
        <v>319</v>
      </c>
      <c r="Q712" t="s">
        <v>245</v>
      </c>
    </row>
    <row r="713" spans="1:17" x14ac:dyDescent="0.25">
      <c r="A713" t="s">
        <v>319</v>
      </c>
      <c r="B713" t="s">
        <v>148</v>
      </c>
      <c r="C713" s="4">
        <v>3.2284150984741043E-2</v>
      </c>
      <c r="D713" s="4">
        <v>3.2284150984741043E-2</v>
      </c>
      <c r="E713" s="4">
        <v>3.2284150984741043E-2</v>
      </c>
      <c r="F713" s="4">
        <v>3.2284150984741043E-2</v>
      </c>
      <c r="G713" s="4">
        <v>3.2284150984741043E-2</v>
      </c>
      <c r="H713" s="4">
        <v>3.2284150984741043E-2</v>
      </c>
      <c r="I713" s="4">
        <v>3.2284150984741043E-2</v>
      </c>
      <c r="J713" s="4">
        <v>3.2284150984741043E-2</v>
      </c>
      <c r="K713" s="4">
        <v>3.2284150984741043E-2</v>
      </c>
      <c r="L713" s="4">
        <v>3.2284150984741043E-2</v>
      </c>
      <c r="M713" s="4">
        <v>3.2284150984741043E-2</v>
      </c>
      <c r="N713" t="s">
        <v>256</v>
      </c>
      <c r="O713" t="s">
        <v>318</v>
      </c>
      <c r="P713" t="s">
        <v>319</v>
      </c>
      <c r="Q713" t="s">
        <v>245</v>
      </c>
    </row>
    <row r="714" spans="1:17" x14ac:dyDescent="0.25">
      <c r="A714" t="s">
        <v>319</v>
      </c>
      <c r="B714" t="s">
        <v>150</v>
      </c>
      <c r="C714" s="4">
        <v>1.6301673310557919E-2</v>
      </c>
      <c r="D714" s="4">
        <v>1.6301673310557919E-2</v>
      </c>
      <c r="E714" s="4">
        <v>1.6301673310557919E-2</v>
      </c>
      <c r="F714" s="4">
        <v>1.6301673310557919E-2</v>
      </c>
      <c r="G714" s="4">
        <v>1.6301673310557919E-2</v>
      </c>
      <c r="H714" s="4">
        <v>1.6301673310557919E-2</v>
      </c>
      <c r="I714" s="4">
        <v>1.6301673310557919E-2</v>
      </c>
      <c r="J714" s="4">
        <v>1.6301673310557919E-2</v>
      </c>
      <c r="K714" s="4">
        <v>1.6301673310557919E-2</v>
      </c>
      <c r="L714" s="4">
        <v>1.6301673310557919E-2</v>
      </c>
      <c r="M714" s="4">
        <v>1.6301673310557919E-2</v>
      </c>
      <c r="N714" t="s">
        <v>256</v>
      </c>
      <c r="O714" t="s">
        <v>318</v>
      </c>
      <c r="P714" t="s">
        <v>319</v>
      </c>
      <c r="Q714" t="s">
        <v>245</v>
      </c>
    </row>
    <row r="715" spans="1:17" x14ac:dyDescent="0.25">
      <c r="A715" t="s">
        <v>319</v>
      </c>
      <c r="B715" t="s">
        <v>175</v>
      </c>
      <c r="C715" s="4">
        <v>2.640022701482515E-3</v>
      </c>
      <c r="D715" s="4">
        <v>2.640022701482515E-3</v>
      </c>
      <c r="E715" s="4">
        <v>2.640022701482515E-3</v>
      </c>
      <c r="F715" s="4">
        <v>2.640022701482515E-3</v>
      </c>
      <c r="G715" s="4">
        <v>2.640022701482515E-3</v>
      </c>
      <c r="H715" s="4">
        <v>2.640022701482515E-3</v>
      </c>
      <c r="I715" s="4">
        <v>2.640022701482515E-3</v>
      </c>
      <c r="J715" s="4">
        <v>2.640022701482515E-3</v>
      </c>
      <c r="K715" s="4">
        <v>2.640022701482515E-3</v>
      </c>
      <c r="L715" s="4">
        <v>2.640022701482515E-3</v>
      </c>
      <c r="M715" s="4">
        <v>2.640022701482515E-3</v>
      </c>
      <c r="N715" t="s">
        <v>256</v>
      </c>
      <c r="O715" t="s">
        <v>318</v>
      </c>
      <c r="P715" t="s">
        <v>319</v>
      </c>
      <c r="Q715" t="s">
        <v>245</v>
      </c>
    </row>
    <row r="716" spans="1:17" x14ac:dyDescent="0.25">
      <c r="A716" t="s">
        <v>319</v>
      </c>
      <c r="B716" t="s">
        <v>132</v>
      </c>
      <c r="C716" s="4">
        <v>1.241554732684909E-3</v>
      </c>
      <c r="D716" s="4">
        <v>1.241554732684909E-3</v>
      </c>
      <c r="E716" s="4">
        <v>1.241554732684909E-3</v>
      </c>
      <c r="F716" s="4">
        <v>1.241554732684909E-3</v>
      </c>
      <c r="G716" s="4">
        <v>1.241554732684909E-3</v>
      </c>
      <c r="H716" s="4">
        <v>1.241554732684909E-3</v>
      </c>
      <c r="I716" s="4">
        <v>1.241554732684909E-3</v>
      </c>
      <c r="J716" s="4">
        <v>1.241554732684909E-3</v>
      </c>
      <c r="K716" s="4">
        <v>1.241554732684909E-3</v>
      </c>
      <c r="L716" s="4">
        <v>1.241554732684909E-3</v>
      </c>
      <c r="M716" s="4">
        <v>1.241554732684909E-3</v>
      </c>
      <c r="N716" t="s">
        <v>256</v>
      </c>
      <c r="O716" t="s">
        <v>318</v>
      </c>
      <c r="P716" t="s">
        <v>319</v>
      </c>
      <c r="Q716" t="s">
        <v>245</v>
      </c>
    </row>
    <row r="717" spans="1:17" x14ac:dyDescent="0.25">
      <c r="A717" t="s">
        <v>319</v>
      </c>
      <c r="B717" t="s">
        <v>133</v>
      </c>
      <c r="C717" s="4">
        <v>3.0948893786889999E-6</v>
      </c>
      <c r="D717" s="4">
        <v>3.0948893786889999E-6</v>
      </c>
      <c r="E717" s="4">
        <v>3.0948893786889999E-6</v>
      </c>
      <c r="F717" s="4">
        <v>3.0948893786889999E-6</v>
      </c>
      <c r="G717" s="4">
        <v>3.0948893786889999E-6</v>
      </c>
      <c r="H717" s="4">
        <v>3.0948893786889999E-6</v>
      </c>
      <c r="I717" s="4">
        <v>3.0948893786889999E-6</v>
      </c>
      <c r="J717" s="4">
        <v>3.0948893786889999E-6</v>
      </c>
      <c r="K717" s="4">
        <v>3.0948893786889999E-6</v>
      </c>
      <c r="L717" s="4">
        <v>3.0948893786889999E-6</v>
      </c>
      <c r="M717" s="4">
        <v>3.0948893786889999E-6</v>
      </c>
      <c r="N717" t="s">
        <v>256</v>
      </c>
      <c r="O717" t="s">
        <v>318</v>
      </c>
      <c r="P717" t="s">
        <v>319</v>
      </c>
      <c r="Q717" t="s">
        <v>245</v>
      </c>
    </row>
    <row r="718" spans="1:17" x14ac:dyDescent="0.25">
      <c r="A718" t="s">
        <v>319</v>
      </c>
      <c r="B718" t="s">
        <v>106</v>
      </c>
      <c r="C718" s="4">
        <v>7.2494266776041306E-4</v>
      </c>
      <c r="D718" s="4">
        <v>7.2494266776041306E-4</v>
      </c>
      <c r="E718" s="4">
        <v>7.2494266776041306E-4</v>
      </c>
      <c r="F718" s="4">
        <v>7.2494266776041306E-4</v>
      </c>
      <c r="G718" s="4">
        <v>7.2494266776041306E-4</v>
      </c>
      <c r="H718" s="4">
        <v>7.2494266776041306E-4</v>
      </c>
      <c r="I718" s="4">
        <v>7.2494266776041306E-4</v>
      </c>
      <c r="J718" s="4">
        <v>7.2494266776041306E-4</v>
      </c>
      <c r="K718" s="4">
        <v>7.2494266776041306E-4</v>
      </c>
      <c r="L718" s="4">
        <v>7.2494266776041306E-4</v>
      </c>
      <c r="M718" s="4">
        <v>7.2494266776041306E-4</v>
      </c>
      <c r="N718" t="s">
        <v>256</v>
      </c>
      <c r="O718" t="s">
        <v>318</v>
      </c>
      <c r="P718" t="s">
        <v>319</v>
      </c>
      <c r="Q718" t="s">
        <v>245</v>
      </c>
    </row>
    <row r="719" spans="1:17" x14ac:dyDescent="0.25">
      <c r="A719" t="s">
        <v>319</v>
      </c>
      <c r="B719" t="s">
        <v>146</v>
      </c>
      <c r="C719" s="4">
        <v>1.910573687217678E-2</v>
      </c>
      <c r="D719" s="4">
        <v>1.910573687217678E-2</v>
      </c>
      <c r="E719" s="4">
        <v>1.910573687217678E-2</v>
      </c>
      <c r="F719" s="4">
        <v>1.910573687217678E-2</v>
      </c>
      <c r="G719" s="4">
        <v>1.910573687217678E-2</v>
      </c>
      <c r="H719" s="4">
        <v>1.910573687217678E-2</v>
      </c>
      <c r="I719" s="4">
        <v>1.910573687217678E-2</v>
      </c>
      <c r="J719" s="4">
        <v>1.910573687217678E-2</v>
      </c>
      <c r="K719" s="4">
        <v>1.910573687217678E-2</v>
      </c>
      <c r="L719" s="4">
        <v>1.910573687217678E-2</v>
      </c>
      <c r="M719" s="4">
        <v>1.910573687217678E-2</v>
      </c>
      <c r="N719" t="s">
        <v>256</v>
      </c>
      <c r="O719" t="s">
        <v>318</v>
      </c>
      <c r="P719" t="s">
        <v>319</v>
      </c>
      <c r="Q719" t="s">
        <v>245</v>
      </c>
    </row>
    <row r="720" spans="1:17" x14ac:dyDescent="0.25">
      <c r="A720" t="s">
        <v>319</v>
      </c>
      <c r="B720" t="s">
        <v>156</v>
      </c>
      <c r="C720" s="4">
        <v>1.284496322814218E-2</v>
      </c>
      <c r="D720" s="4">
        <v>1.284496322814218E-2</v>
      </c>
      <c r="E720" s="4">
        <v>1.284496322814218E-2</v>
      </c>
      <c r="F720" s="4">
        <v>1.284496322814218E-2</v>
      </c>
      <c r="G720" s="4">
        <v>1.284496322814218E-2</v>
      </c>
      <c r="H720" s="4">
        <v>1.284496322814218E-2</v>
      </c>
      <c r="I720" s="4">
        <v>1.284496322814218E-2</v>
      </c>
      <c r="J720" s="4">
        <v>1.284496322814218E-2</v>
      </c>
      <c r="K720" s="4">
        <v>1.284496322814218E-2</v>
      </c>
      <c r="L720" s="4">
        <v>1.284496322814218E-2</v>
      </c>
      <c r="M720" s="4">
        <v>1.284496322814218E-2</v>
      </c>
      <c r="N720" t="s">
        <v>256</v>
      </c>
      <c r="O720" t="s">
        <v>318</v>
      </c>
      <c r="P720" t="s">
        <v>319</v>
      </c>
      <c r="Q720" t="s">
        <v>245</v>
      </c>
    </row>
    <row r="721" spans="1:18" x14ac:dyDescent="0.25">
      <c r="A721" t="s">
        <v>319</v>
      </c>
      <c r="B721" t="s">
        <v>151</v>
      </c>
      <c r="C721" s="4">
        <v>2.7597046528309011E-2</v>
      </c>
      <c r="D721" s="4">
        <v>2.7597046528309011E-2</v>
      </c>
      <c r="E721" s="4">
        <v>2.7597046528309011E-2</v>
      </c>
      <c r="F721" s="4">
        <v>2.7597046528309011E-2</v>
      </c>
      <c r="G721" s="4">
        <v>2.7597046528309011E-2</v>
      </c>
      <c r="H721" s="4">
        <v>2.7597046528309011E-2</v>
      </c>
      <c r="I721" s="4">
        <v>2.7597046528309011E-2</v>
      </c>
      <c r="J721" s="4">
        <v>2.7597046528309011E-2</v>
      </c>
      <c r="K721" s="4">
        <v>2.7597046528309011E-2</v>
      </c>
      <c r="L721" s="4">
        <v>2.7597046528309011E-2</v>
      </c>
      <c r="M721" s="4">
        <v>2.7597046528309011E-2</v>
      </c>
      <c r="N721" t="s">
        <v>256</v>
      </c>
      <c r="O721" t="s">
        <v>318</v>
      </c>
      <c r="P721" t="s">
        <v>319</v>
      </c>
      <c r="Q721" t="s">
        <v>245</v>
      </c>
    </row>
    <row r="722" spans="1:18" x14ac:dyDescent="0.25">
      <c r="A722" t="s">
        <v>319</v>
      </c>
      <c r="B722" t="s">
        <v>107</v>
      </c>
      <c r="C722" s="4">
        <v>4.8354129622267109E-2</v>
      </c>
      <c r="D722" s="4">
        <v>4.8354129622267109E-2</v>
      </c>
      <c r="E722" s="4">
        <v>4.8354129622267109E-2</v>
      </c>
      <c r="F722" s="4">
        <v>4.8354129622267109E-2</v>
      </c>
      <c r="G722" s="4">
        <v>4.8354129622267109E-2</v>
      </c>
      <c r="H722" s="4">
        <v>4.8354129622267109E-2</v>
      </c>
      <c r="I722" s="4">
        <v>4.8354129622267109E-2</v>
      </c>
      <c r="J722" s="4">
        <v>4.8354129622267109E-2</v>
      </c>
      <c r="K722" s="4">
        <v>4.8354129622267109E-2</v>
      </c>
      <c r="L722" s="4">
        <v>4.8354129622267109E-2</v>
      </c>
      <c r="M722" s="4">
        <v>4.8354129622267109E-2</v>
      </c>
      <c r="N722" t="s">
        <v>312</v>
      </c>
      <c r="O722" t="s">
        <v>318</v>
      </c>
      <c r="P722" t="s">
        <v>319</v>
      </c>
      <c r="Q722" t="s">
        <v>245</v>
      </c>
    </row>
    <row r="723" spans="1:18" x14ac:dyDescent="0.25">
      <c r="A723" t="s">
        <v>319</v>
      </c>
      <c r="B723" t="s">
        <v>179</v>
      </c>
      <c r="C723" s="4">
        <v>4.4957957451789068E-3</v>
      </c>
      <c r="D723" s="4">
        <v>4.4957957451789068E-3</v>
      </c>
      <c r="E723" s="4">
        <v>4.4957957451789068E-3</v>
      </c>
      <c r="F723" s="4">
        <v>4.4957957451789068E-3</v>
      </c>
      <c r="G723" s="4">
        <v>4.4957957451789068E-3</v>
      </c>
      <c r="H723" s="4">
        <v>4.4957957451789068E-3</v>
      </c>
      <c r="I723" s="4">
        <v>4.4957957451789068E-3</v>
      </c>
      <c r="J723" s="4">
        <v>4.4957957451789068E-3</v>
      </c>
      <c r="K723" s="4">
        <v>4.4957957451789068E-3</v>
      </c>
      <c r="L723" s="4">
        <v>4.4957957451789068E-3</v>
      </c>
      <c r="M723" s="4">
        <v>4.4957957451789068E-3</v>
      </c>
      <c r="N723" t="s">
        <v>256</v>
      </c>
      <c r="O723" t="s">
        <v>318</v>
      </c>
      <c r="P723" t="s">
        <v>319</v>
      </c>
      <c r="Q723" t="s">
        <v>245</v>
      </c>
    </row>
    <row r="724" spans="1:18" x14ac:dyDescent="0.25">
      <c r="A724" t="s">
        <v>319</v>
      </c>
      <c r="B724" t="s">
        <v>137</v>
      </c>
      <c r="C724" s="4">
        <v>1.667019960793848E-3</v>
      </c>
      <c r="D724" s="4">
        <v>1.667019960793848E-3</v>
      </c>
      <c r="E724" s="4">
        <v>1.667019960793848E-3</v>
      </c>
      <c r="F724" s="4">
        <v>1.667019960793848E-3</v>
      </c>
      <c r="G724" s="4">
        <v>1.667019960793848E-3</v>
      </c>
      <c r="H724" s="4">
        <v>1.667019960793848E-3</v>
      </c>
      <c r="I724" s="4">
        <v>1.667019960793848E-3</v>
      </c>
      <c r="J724" s="4">
        <v>1.667019960793848E-3</v>
      </c>
      <c r="K724" s="4">
        <v>1.667019960793848E-3</v>
      </c>
      <c r="L724" s="4">
        <v>1.667019960793848E-3</v>
      </c>
      <c r="M724" s="4">
        <v>1.667019960793848E-3</v>
      </c>
      <c r="N724" t="s">
        <v>256</v>
      </c>
      <c r="O724" t="s">
        <v>318</v>
      </c>
      <c r="P724" t="s">
        <v>319</v>
      </c>
      <c r="Q724" t="s">
        <v>245</v>
      </c>
    </row>
    <row r="725" spans="1:18" x14ac:dyDescent="0.25">
      <c r="A725" t="s">
        <v>319</v>
      </c>
      <c r="B725" t="s">
        <v>121</v>
      </c>
      <c r="C725" s="4">
        <v>1.569601283760114E-2</v>
      </c>
      <c r="D725" s="4">
        <v>1.569601283760114E-2</v>
      </c>
      <c r="E725" s="4">
        <v>1.569601283760114E-2</v>
      </c>
      <c r="F725" s="4">
        <v>1.569601283760114E-2</v>
      </c>
      <c r="G725" s="4">
        <v>1.569601283760114E-2</v>
      </c>
      <c r="H725" s="4">
        <v>1.569601283760114E-2</v>
      </c>
      <c r="I725" s="4">
        <v>1.569601283760114E-2</v>
      </c>
      <c r="J725" s="4">
        <v>1.569601283760114E-2</v>
      </c>
      <c r="K725" s="4">
        <v>1.569601283760114E-2</v>
      </c>
      <c r="L725" s="4">
        <v>1.569601283760114E-2</v>
      </c>
      <c r="M725" s="4">
        <v>1.569601283760114E-2</v>
      </c>
      <c r="N725" t="s">
        <v>256</v>
      </c>
      <c r="O725" t="s">
        <v>318</v>
      </c>
      <c r="P725" t="s">
        <v>319</v>
      </c>
      <c r="Q725" t="s">
        <v>245</v>
      </c>
    </row>
    <row r="726" spans="1:18" x14ac:dyDescent="0.25">
      <c r="A726" t="s">
        <v>319</v>
      </c>
      <c r="B726" t="s">
        <v>138</v>
      </c>
      <c r="C726" s="4">
        <v>8.7442348013792616E-3</v>
      </c>
      <c r="D726" s="4">
        <v>8.7442348013792616E-3</v>
      </c>
      <c r="E726" s="4">
        <v>8.7442348013792616E-3</v>
      </c>
      <c r="F726" s="4">
        <v>8.7442348013792616E-3</v>
      </c>
      <c r="G726" s="4">
        <v>8.7442348013792616E-3</v>
      </c>
      <c r="H726" s="4">
        <v>8.7442348013792616E-3</v>
      </c>
      <c r="I726" s="4">
        <v>8.7442348013792616E-3</v>
      </c>
      <c r="J726" s="4">
        <v>8.7442348013792616E-3</v>
      </c>
      <c r="K726" s="4">
        <v>8.7442348013792616E-3</v>
      </c>
      <c r="L726" s="4">
        <v>8.7442348013792616E-3</v>
      </c>
      <c r="M726" s="4">
        <v>8.7442348013792616E-3</v>
      </c>
      <c r="N726" t="s">
        <v>256</v>
      </c>
      <c r="O726" t="s">
        <v>318</v>
      </c>
      <c r="P726" t="s">
        <v>319</v>
      </c>
      <c r="Q726" t="s">
        <v>245</v>
      </c>
    </row>
    <row r="727" spans="1:18" x14ac:dyDescent="0.25">
      <c r="A727" t="s">
        <v>319</v>
      </c>
      <c r="B727" t="s">
        <v>111</v>
      </c>
      <c r="C727" s="4">
        <v>2.778366601323079E-3</v>
      </c>
      <c r="D727" s="4">
        <v>2.778366601323079E-3</v>
      </c>
      <c r="E727" s="4">
        <v>2.778366601323079E-3</v>
      </c>
      <c r="F727" s="4">
        <v>2.778366601323079E-3</v>
      </c>
      <c r="G727" s="4">
        <v>2.778366601323079E-3</v>
      </c>
      <c r="H727" s="4">
        <v>2.778366601323079E-3</v>
      </c>
      <c r="I727" s="4">
        <v>2.778366601323079E-3</v>
      </c>
      <c r="J727" s="4">
        <v>2.778366601323079E-3</v>
      </c>
      <c r="K727" s="4">
        <v>2.778366601323079E-3</v>
      </c>
      <c r="L727" s="4">
        <v>2.778366601323079E-3</v>
      </c>
      <c r="M727" s="4">
        <v>2.778366601323079E-3</v>
      </c>
      <c r="N727" t="s">
        <v>256</v>
      </c>
      <c r="O727" t="s">
        <v>318</v>
      </c>
      <c r="P727" t="s">
        <v>319</v>
      </c>
      <c r="Q727" t="s">
        <v>245</v>
      </c>
    </row>
    <row r="728" spans="1:18" x14ac:dyDescent="0.25">
      <c r="A728" t="s">
        <v>319</v>
      </c>
      <c r="B728" t="s">
        <v>112</v>
      </c>
      <c r="C728" s="4">
        <v>4.623577162708112E-3</v>
      </c>
      <c r="D728" s="4">
        <v>4.623577162708112E-3</v>
      </c>
      <c r="E728" s="4">
        <v>4.623577162708112E-3</v>
      </c>
      <c r="F728" s="4">
        <v>4.623577162708112E-3</v>
      </c>
      <c r="G728" s="4">
        <v>4.623577162708112E-3</v>
      </c>
      <c r="H728" s="4">
        <v>4.623577162708112E-3</v>
      </c>
      <c r="I728" s="4">
        <v>4.623577162708112E-3</v>
      </c>
      <c r="J728" s="4">
        <v>4.623577162708112E-3</v>
      </c>
      <c r="K728" s="4">
        <v>4.623577162708112E-3</v>
      </c>
      <c r="L728" s="4">
        <v>4.623577162708112E-3</v>
      </c>
      <c r="M728" s="4">
        <v>4.623577162708112E-3</v>
      </c>
      <c r="N728" t="s">
        <v>256</v>
      </c>
      <c r="O728" t="s">
        <v>318</v>
      </c>
      <c r="P728" t="s">
        <v>319</v>
      </c>
      <c r="Q728" t="s">
        <v>245</v>
      </c>
    </row>
    <row r="729" spans="1:18" x14ac:dyDescent="0.25">
      <c r="A729" t="s">
        <v>319</v>
      </c>
      <c r="B729" t="s">
        <v>113</v>
      </c>
      <c r="C729" s="4">
        <v>2.5169422333504859E-2</v>
      </c>
      <c r="D729" s="4">
        <v>2.5169422333504859E-2</v>
      </c>
      <c r="E729" s="4">
        <v>2.5169422333504859E-2</v>
      </c>
      <c r="F729" s="4">
        <v>2.5169422333504859E-2</v>
      </c>
      <c r="G729" s="4">
        <v>2.5169422333504859E-2</v>
      </c>
      <c r="H729" s="4">
        <v>2.5169422333504859E-2</v>
      </c>
      <c r="I729" s="4">
        <v>2.5169422333504859E-2</v>
      </c>
      <c r="J729" s="4">
        <v>2.5169422333504859E-2</v>
      </c>
      <c r="K729" s="4">
        <v>2.5169422333504859E-2</v>
      </c>
      <c r="L729" s="4">
        <v>2.5169422333504859E-2</v>
      </c>
      <c r="M729" s="4">
        <v>2.5169422333504859E-2</v>
      </c>
      <c r="N729" t="s">
        <v>256</v>
      </c>
      <c r="O729" t="s">
        <v>318</v>
      </c>
      <c r="P729" t="s">
        <v>319</v>
      </c>
      <c r="Q729" t="s">
        <v>245</v>
      </c>
    </row>
    <row r="730" spans="1:18" x14ac:dyDescent="0.25">
      <c r="A730" t="s">
        <v>319</v>
      </c>
      <c r="B730" t="s">
        <v>180</v>
      </c>
      <c r="C730" s="4">
        <v>7.7407403664710092E-3</v>
      </c>
      <c r="D730" s="4">
        <v>7.7407403664710092E-3</v>
      </c>
      <c r="E730" s="4">
        <v>7.7407403664710092E-3</v>
      </c>
      <c r="F730" s="4">
        <v>7.7407403664710092E-3</v>
      </c>
      <c r="G730" s="4">
        <v>7.7407403664710092E-3</v>
      </c>
      <c r="H730" s="4">
        <v>7.7407403664710092E-3</v>
      </c>
      <c r="I730" s="4">
        <v>7.7407403664710092E-3</v>
      </c>
      <c r="J730" s="4">
        <v>7.7407403664710092E-3</v>
      </c>
      <c r="K730" s="4">
        <v>7.7407403664710092E-3</v>
      </c>
      <c r="L730" s="4">
        <v>7.7407403664710092E-3</v>
      </c>
      <c r="M730" s="4">
        <v>7.7407403664710092E-3</v>
      </c>
      <c r="N730" t="s">
        <v>256</v>
      </c>
      <c r="O730" t="s">
        <v>318</v>
      </c>
      <c r="P730" t="s">
        <v>319</v>
      </c>
      <c r="Q730" t="s">
        <v>245</v>
      </c>
    </row>
    <row r="731" spans="1:18" x14ac:dyDescent="0.25">
      <c r="A731" t="s">
        <v>319</v>
      </c>
      <c r="B731" t="s">
        <v>115</v>
      </c>
      <c r="C731" s="4">
        <v>9.9646059541123096E-4</v>
      </c>
      <c r="D731" s="4">
        <v>9.9646059541123096E-4</v>
      </c>
      <c r="E731" s="4">
        <v>9.9646059541123096E-4</v>
      </c>
      <c r="F731" s="4">
        <v>9.9646059541123096E-4</v>
      </c>
      <c r="G731" s="4">
        <v>9.9646059541123096E-4</v>
      </c>
      <c r="H731" s="4">
        <v>9.9646059541123096E-4</v>
      </c>
      <c r="I731" s="4">
        <v>9.9646059541123096E-4</v>
      </c>
      <c r="J731" s="4">
        <v>9.9646059541123096E-4</v>
      </c>
      <c r="K731" s="4">
        <v>9.9646059541123096E-4</v>
      </c>
      <c r="L731" s="4">
        <v>9.9646059541123096E-4</v>
      </c>
      <c r="M731" s="4">
        <v>9.9646059541123096E-4</v>
      </c>
      <c r="N731" t="s">
        <v>256</v>
      </c>
      <c r="O731" t="s">
        <v>318</v>
      </c>
      <c r="P731" t="s">
        <v>319</v>
      </c>
      <c r="Q731" t="s">
        <v>245</v>
      </c>
    </row>
    <row r="732" spans="1:18" x14ac:dyDescent="0.25">
      <c r="A732" t="s">
        <v>319</v>
      </c>
      <c r="B732" t="s">
        <v>143</v>
      </c>
      <c r="C732" s="4">
        <v>4.4145548989883203E-2</v>
      </c>
      <c r="D732" s="4">
        <v>4.4145548989883203E-2</v>
      </c>
      <c r="E732" s="4">
        <v>4.4145548989883203E-2</v>
      </c>
      <c r="F732" s="4">
        <v>4.4145548989883203E-2</v>
      </c>
      <c r="G732" s="4">
        <v>4.4145548989883203E-2</v>
      </c>
      <c r="H732" s="4">
        <v>4.4145548989883203E-2</v>
      </c>
      <c r="I732" s="4">
        <v>4.4145548989883203E-2</v>
      </c>
      <c r="J732" s="4">
        <v>4.4145548989883203E-2</v>
      </c>
      <c r="K732" s="4">
        <v>4.4145548989883203E-2</v>
      </c>
      <c r="L732" s="4">
        <v>4.4145548989883203E-2</v>
      </c>
      <c r="M732" s="4">
        <v>4.4145548989883203E-2</v>
      </c>
      <c r="N732" t="s">
        <v>256</v>
      </c>
      <c r="O732" t="s">
        <v>318</v>
      </c>
      <c r="P732" t="s">
        <v>319</v>
      </c>
      <c r="Q732" t="s">
        <v>245</v>
      </c>
    </row>
    <row r="733" spans="1:18" x14ac:dyDescent="0.25">
      <c r="A733" t="s">
        <v>324</v>
      </c>
      <c r="B733" t="s">
        <v>116</v>
      </c>
      <c r="C733" s="2">
        <f t="shared" ref="C733:M734" si="204">1.82758697059355E-10/0.800657463208691</f>
        <v>2.2826077999315299E-10</v>
      </c>
      <c r="D733" s="2">
        <f t="shared" si="204"/>
        <v>2.2826077999315299E-10</v>
      </c>
      <c r="E733" s="2">
        <f t="shared" si="204"/>
        <v>2.2826077999315299E-10</v>
      </c>
      <c r="F733" s="2">
        <f t="shared" si="204"/>
        <v>2.2826077999315299E-10</v>
      </c>
      <c r="G733" s="2">
        <f t="shared" si="204"/>
        <v>2.2826077999315299E-10</v>
      </c>
      <c r="H733" s="2">
        <f t="shared" si="204"/>
        <v>2.2826077999315299E-10</v>
      </c>
      <c r="I733" s="2">
        <f t="shared" si="204"/>
        <v>2.2826077999315299E-10</v>
      </c>
      <c r="J733" s="2">
        <f t="shared" si="204"/>
        <v>2.2826077999315299E-10</v>
      </c>
      <c r="K733" s="2">
        <f t="shared" si="204"/>
        <v>2.2826077999315299E-10</v>
      </c>
      <c r="L733" s="2">
        <f t="shared" si="204"/>
        <v>2.2826077999315299E-10</v>
      </c>
      <c r="M733" s="2">
        <f t="shared" si="204"/>
        <v>2.2826077999315299E-10</v>
      </c>
      <c r="N733" t="s">
        <v>288</v>
      </c>
      <c r="O733" t="s">
        <v>322</v>
      </c>
      <c r="P733" t="s">
        <v>324</v>
      </c>
      <c r="Q733" t="s">
        <v>245</v>
      </c>
      <c r="R733" t="s">
        <v>562</v>
      </c>
    </row>
    <row r="734" spans="1:18" x14ac:dyDescent="0.25">
      <c r="A734" t="s">
        <v>324</v>
      </c>
      <c r="B734" t="s">
        <v>116</v>
      </c>
      <c r="C734" s="2">
        <f t="shared" si="204"/>
        <v>2.2826077999315299E-10</v>
      </c>
      <c r="D734" s="2">
        <f t="shared" si="204"/>
        <v>2.2826077999315299E-10</v>
      </c>
      <c r="E734" s="2">
        <f t="shared" si="204"/>
        <v>2.2826077999315299E-10</v>
      </c>
      <c r="F734" s="2">
        <f t="shared" si="204"/>
        <v>2.2826077999315299E-10</v>
      </c>
      <c r="G734" s="2">
        <f t="shared" si="204"/>
        <v>2.2826077999315299E-10</v>
      </c>
      <c r="H734" s="2">
        <f t="shared" si="204"/>
        <v>2.2826077999315299E-10</v>
      </c>
      <c r="I734" s="2">
        <f t="shared" si="204"/>
        <v>2.2826077999315299E-10</v>
      </c>
      <c r="J734" s="2">
        <f t="shared" si="204"/>
        <v>2.2826077999315299E-10</v>
      </c>
      <c r="K734" s="2">
        <f t="shared" si="204"/>
        <v>2.2826077999315299E-10</v>
      </c>
      <c r="L734" s="2">
        <f t="shared" si="204"/>
        <v>2.2826077999315299E-10</v>
      </c>
      <c r="M734" s="2">
        <f t="shared" si="204"/>
        <v>2.2826077999315299E-10</v>
      </c>
      <c r="N734" t="s">
        <v>288</v>
      </c>
      <c r="O734" t="s">
        <v>323</v>
      </c>
      <c r="P734" t="s">
        <v>324</v>
      </c>
      <c r="Q734" t="s">
        <v>245</v>
      </c>
    </row>
    <row r="735" spans="1:18" x14ac:dyDescent="0.25">
      <c r="A735" t="s">
        <v>324</v>
      </c>
      <c r="B735" t="s">
        <v>107</v>
      </c>
      <c r="C735" s="4">
        <f t="shared" ref="C735:M735" si="205">0.0157037102658409/0.800657463208691</f>
        <v>1.961351887348577E-2</v>
      </c>
      <c r="D735" s="4">
        <f t="shared" si="205"/>
        <v>1.961351887348577E-2</v>
      </c>
      <c r="E735" s="4">
        <f t="shared" si="205"/>
        <v>1.961351887348577E-2</v>
      </c>
      <c r="F735" s="4">
        <f t="shared" si="205"/>
        <v>1.961351887348577E-2</v>
      </c>
      <c r="G735" s="4">
        <f t="shared" si="205"/>
        <v>1.961351887348577E-2</v>
      </c>
      <c r="H735" s="4">
        <f t="shared" si="205"/>
        <v>1.961351887348577E-2</v>
      </c>
      <c r="I735" s="4">
        <f t="shared" si="205"/>
        <v>1.961351887348577E-2</v>
      </c>
      <c r="J735" s="4">
        <f t="shared" si="205"/>
        <v>1.961351887348577E-2</v>
      </c>
      <c r="K735" s="4">
        <f t="shared" si="205"/>
        <v>1.961351887348577E-2</v>
      </c>
      <c r="L735" s="4">
        <f t="shared" si="205"/>
        <v>1.961351887348577E-2</v>
      </c>
      <c r="M735" s="4">
        <f t="shared" si="205"/>
        <v>1.961351887348577E-2</v>
      </c>
      <c r="N735" t="s">
        <v>312</v>
      </c>
      <c r="O735" t="s">
        <v>335</v>
      </c>
      <c r="P735" t="s">
        <v>324</v>
      </c>
      <c r="Q735" t="s">
        <v>245</v>
      </c>
    </row>
    <row r="736" spans="1:18" x14ac:dyDescent="0.25">
      <c r="A736" t="s">
        <v>324</v>
      </c>
      <c r="B736" t="s">
        <v>138</v>
      </c>
      <c r="C736" s="4">
        <f t="shared" ref="C736:M736" si="206">0.0068111458857769/0.800657463208691</f>
        <v>8.5069411062263182E-3</v>
      </c>
      <c r="D736" s="4">
        <f t="shared" si="206"/>
        <v>8.5069411062263182E-3</v>
      </c>
      <c r="E736" s="4">
        <f t="shared" si="206"/>
        <v>8.5069411062263182E-3</v>
      </c>
      <c r="F736" s="4">
        <f t="shared" si="206"/>
        <v>8.5069411062263182E-3</v>
      </c>
      <c r="G736" s="4">
        <f t="shared" si="206"/>
        <v>8.5069411062263182E-3</v>
      </c>
      <c r="H736" s="4">
        <f t="shared" si="206"/>
        <v>8.5069411062263182E-3</v>
      </c>
      <c r="I736" s="4">
        <f t="shared" si="206"/>
        <v>8.5069411062263182E-3</v>
      </c>
      <c r="J736" s="4">
        <f t="shared" si="206"/>
        <v>8.5069411062263182E-3</v>
      </c>
      <c r="K736" s="4">
        <f t="shared" si="206"/>
        <v>8.5069411062263182E-3</v>
      </c>
      <c r="L736" s="4">
        <f t="shared" si="206"/>
        <v>8.5069411062263182E-3</v>
      </c>
      <c r="M736" s="4">
        <f t="shared" si="206"/>
        <v>8.5069411062263182E-3</v>
      </c>
      <c r="N736" t="s">
        <v>313</v>
      </c>
      <c r="O736" t="s">
        <v>336</v>
      </c>
      <c r="P736" t="s">
        <v>324</v>
      </c>
      <c r="Q736" t="s">
        <v>245</v>
      </c>
    </row>
    <row r="737" spans="1:21" x14ac:dyDescent="0.25">
      <c r="A737" t="s">
        <v>324</v>
      </c>
      <c r="B737" t="s">
        <v>137</v>
      </c>
      <c r="C737" s="4">
        <f t="shared" ref="C737:M737" si="207">0.11796839608685%/0.800657463208691</f>
        <v>1.4733940730919232E-3</v>
      </c>
      <c r="D737" s="4">
        <f t="shared" si="207"/>
        <v>1.4733940730919232E-3</v>
      </c>
      <c r="E737" s="4">
        <f t="shared" si="207"/>
        <v>1.4733940730919232E-3</v>
      </c>
      <c r="F737" s="4">
        <f t="shared" si="207"/>
        <v>1.4733940730919232E-3</v>
      </c>
      <c r="G737" s="4">
        <f t="shared" si="207"/>
        <v>1.4733940730919232E-3</v>
      </c>
      <c r="H737" s="4">
        <f t="shared" si="207"/>
        <v>1.4733940730919232E-3</v>
      </c>
      <c r="I737" s="4">
        <f t="shared" si="207"/>
        <v>1.4733940730919232E-3</v>
      </c>
      <c r="J737" s="4">
        <f t="shared" si="207"/>
        <v>1.4733940730919232E-3</v>
      </c>
      <c r="K737" s="4">
        <f t="shared" si="207"/>
        <v>1.4733940730919232E-3</v>
      </c>
      <c r="L737" s="4">
        <f t="shared" si="207"/>
        <v>1.4733940730919232E-3</v>
      </c>
      <c r="M737" s="4">
        <f t="shared" si="207"/>
        <v>1.4733940730919232E-3</v>
      </c>
      <c r="N737" t="s">
        <v>320</v>
      </c>
      <c r="O737" t="s">
        <v>337</v>
      </c>
      <c r="P737" t="s">
        <v>324</v>
      </c>
      <c r="Q737" t="s">
        <v>245</v>
      </c>
    </row>
    <row r="738" spans="1:21" x14ac:dyDescent="0.25">
      <c r="A738" t="s">
        <v>324</v>
      </c>
      <c r="B738" t="s">
        <v>124</v>
      </c>
      <c r="C738" s="4">
        <f t="shared" ref="C738:M738" si="208">0.212937718373242 * 0.0574113920162127%</f>
        <v>1.2225050824564096E-4</v>
      </c>
      <c r="D738" s="4">
        <f t="shared" si="208"/>
        <v>1.2225050824564096E-4</v>
      </c>
      <c r="E738" s="4">
        <f t="shared" si="208"/>
        <v>1.2225050824564096E-4</v>
      </c>
      <c r="F738" s="4">
        <f t="shared" si="208"/>
        <v>1.2225050824564096E-4</v>
      </c>
      <c r="G738" s="4">
        <f t="shared" si="208"/>
        <v>1.2225050824564096E-4</v>
      </c>
      <c r="H738" s="4">
        <f t="shared" si="208"/>
        <v>1.2225050824564096E-4</v>
      </c>
      <c r="I738" s="4">
        <f t="shared" si="208"/>
        <v>1.2225050824564096E-4</v>
      </c>
      <c r="J738" s="4">
        <f t="shared" si="208"/>
        <v>1.2225050824564096E-4</v>
      </c>
      <c r="K738" s="4">
        <f t="shared" si="208"/>
        <v>1.2225050824564096E-4</v>
      </c>
      <c r="L738" s="4">
        <f t="shared" si="208"/>
        <v>1.2225050824564096E-4</v>
      </c>
      <c r="M738" s="4">
        <f t="shared" si="208"/>
        <v>1.2225050824564096E-4</v>
      </c>
      <c r="N738" t="s">
        <v>242</v>
      </c>
      <c r="O738" t="s">
        <v>327</v>
      </c>
      <c r="P738" t="s">
        <v>324</v>
      </c>
      <c r="Q738" t="s">
        <v>245</v>
      </c>
      <c r="R738" t="s">
        <v>341</v>
      </c>
      <c r="U738" s="9"/>
    </row>
    <row r="739" spans="1:21" x14ac:dyDescent="0.25">
      <c r="A739" t="s">
        <v>324</v>
      </c>
      <c r="B739" t="s">
        <v>124</v>
      </c>
      <c r="C739" s="4">
        <f t="shared" ref="C739:M739" si="209">0.755584923910716 * 0.0574113920162127%</f>
        <v>4.3379182268178364E-4</v>
      </c>
      <c r="D739" s="4">
        <f t="shared" si="209"/>
        <v>4.3379182268178364E-4</v>
      </c>
      <c r="E739" s="4">
        <f t="shared" si="209"/>
        <v>4.3379182268178364E-4</v>
      </c>
      <c r="F739" s="4">
        <f t="shared" si="209"/>
        <v>4.3379182268178364E-4</v>
      </c>
      <c r="G739" s="4">
        <f t="shared" si="209"/>
        <v>4.3379182268178364E-4</v>
      </c>
      <c r="H739" s="4">
        <f t="shared" si="209"/>
        <v>4.3379182268178364E-4</v>
      </c>
      <c r="I739" s="4">
        <f t="shared" si="209"/>
        <v>4.3379182268178364E-4</v>
      </c>
      <c r="J739" s="4">
        <f t="shared" si="209"/>
        <v>4.3379182268178364E-4</v>
      </c>
      <c r="K739" s="4">
        <f t="shared" si="209"/>
        <v>4.3379182268178364E-4</v>
      </c>
      <c r="L739" s="4">
        <f t="shared" si="209"/>
        <v>4.3379182268178364E-4</v>
      </c>
      <c r="M739" s="4">
        <f t="shared" si="209"/>
        <v>4.3379182268178364E-4</v>
      </c>
      <c r="N739" t="s">
        <v>242</v>
      </c>
      <c r="O739" t="s">
        <v>326</v>
      </c>
      <c r="P739" t="s">
        <v>324</v>
      </c>
      <c r="Q739" t="s">
        <v>245</v>
      </c>
      <c r="U739" s="9"/>
    </row>
    <row r="740" spans="1:21" x14ac:dyDescent="0.25">
      <c r="A740" t="s">
        <v>324</v>
      </c>
      <c r="B740" t="s">
        <v>124</v>
      </c>
      <c r="C740" s="4">
        <f t="shared" ref="C740:M740" si="210">0.00154025450133466 * 0.0574113920162127%</f>
        <v>8.8428154980860384E-7</v>
      </c>
      <c r="D740" s="4">
        <f t="shared" si="210"/>
        <v>8.8428154980860384E-7</v>
      </c>
      <c r="E740" s="4">
        <f t="shared" si="210"/>
        <v>8.8428154980860384E-7</v>
      </c>
      <c r="F740" s="4">
        <f t="shared" si="210"/>
        <v>8.8428154980860384E-7</v>
      </c>
      <c r="G740" s="4">
        <f t="shared" si="210"/>
        <v>8.8428154980860384E-7</v>
      </c>
      <c r="H740" s="4">
        <f t="shared" si="210"/>
        <v>8.8428154980860384E-7</v>
      </c>
      <c r="I740" s="4">
        <f t="shared" si="210"/>
        <v>8.8428154980860384E-7</v>
      </c>
      <c r="J740" s="4">
        <f t="shared" si="210"/>
        <v>8.8428154980860384E-7</v>
      </c>
      <c r="K740" s="4">
        <f t="shared" si="210"/>
        <v>8.8428154980860384E-7</v>
      </c>
      <c r="L740" s="4">
        <f t="shared" si="210"/>
        <v>8.8428154980860384E-7</v>
      </c>
      <c r="M740" s="4">
        <f t="shared" si="210"/>
        <v>8.8428154980860384E-7</v>
      </c>
      <c r="N740" t="s">
        <v>242</v>
      </c>
      <c r="O740" t="s">
        <v>289</v>
      </c>
      <c r="P740" t="s">
        <v>324</v>
      </c>
      <c r="Q740" t="s">
        <v>245</v>
      </c>
      <c r="U740" s="9"/>
    </row>
    <row r="741" spans="1:21" x14ac:dyDescent="0.25">
      <c r="A741" t="s">
        <v>324</v>
      </c>
      <c r="B741" t="s">
        <v>124</v>
      </c>
      <c r="C741" s="4">
        <f t="shared" ref="C741:M741" si="211">4.63438553364394E-10 * 0.0574113920162127%</f>
        <v>2.6606652462629734E-13</v>
      </c>
      <c r="D741" s="4">
        <f t="shared" si="211"/>
        <v>2.6606652462629734E-13</v>
      </c>
      <c r="E741" s="4">
        <f t="shared" si="211"/>
        <v>2.6606652462629734E-13</v>
      </c>
      <c r="F741" s="4">
        <f t="shared" si="211"/>
        <v>2.6606652462629734E-13</v>
      </c>
      <c r="G741" s="4">
        <f t="shared" si="211"/>
        <v>2.6606652462629734E-13</v>
      </c>
      <c r="H741" s="4">
        <f t="shared" si="211"/>
        <v>2.6606652462629734E-13</v>
      </c>
      <c r="I741" s="4">
        <f t="shared" si="211"/>
        <v>2.6606652462629734E-13</v>
      </c>
      <c r="J741" s="4">
        <f t="shared" si="211"/>
        <v>2.6606652462629734E-13</v>
      </c>
      <c r="K741" s="4">
        <f t="shared" si="211"/>
        <v>2.6606652462629734E-13</v>
      </c>
      <c r="L741" s="4">
        <f t="shared" si="211"/>
        <v>2.6606652462629734E-13</v>
      </c>
      <c r="M741" s="4">
        <f t="shared" si="211"/>
        <v>2.6606652462629734E-13</v>
      </c>
      <c r="N741" t="s">
        <v>256</v>
      </c>
      <c r="O741" t="s">
        <v>322</v>
      </c>
      <c r="P741" t="s">
        <v>324</v>
      </c>
      <c r="Q741" t="s">
        <v>245</v>
      </c>
      <c r="U741" s="9"/>
    </row>
    <row r="742" spans="1:21" x14ac:dyDescent="0.25">
      <c r="A742" t="s">
        <v>324</v>
      </c>
      <c r="B742" t="s">
        <v>124</v>
      </c>
      <c r="C742" s="4">
        <f t="shared" ref="C742:M742" si="212">1.80533525994585E-09 * 0.0574113920162127%</f>
        <v>1.0364681032944245E-12</v>
      </c>
      <c r="D742" s="4">
        <f t="shared" si="212"/>
        <v>1.0364681032944245E-12</v>
      </c>
      <c r="E742" s="4">
        <f t="shared" si="212"/>
        <v>1.0364681032944245E-12</v>
      </c>
      <c r="F742" s="4">
        <f t="shared" si="212"/>
        <v>1.0364681032944245E-12</v>
      </c>
      <c r="G742" s="4">
        <f t="shared" si="212"/>
        <v>1.0364681032944245E-12</v>
      </c>
      <c r="H742" s="4">
        <f t="shared" si="212"/>
        <v>1.0364681032944245E-12</v>
      </c>
      <c r="I742" s="4">
        <f t="shared" si="212"/>
        <v>1.0364681032944245E-12</v>
      </c>
      <c r="J742" s="4">
        <f t="shared" si="212"/>
        <v>1.0364681032944245E-12</v>
      </c>
      <c r="K742" s="4">
        <f t="shared" si="212"/>
        <v>1.0364681032944245E-12</v>
      </c>
      <c r="L742" s="4">
        <f t="shared" si="212"/>
        <v>1.0364681032944245E-12</v>
      </c>
      <c r="M742" s="4">
        <f t="shared" si="212"/>
        <v>1.0364681032944245E-12</v>
      </c>
      <c r="N742" t="s">
        <v>256</v>
      </c>
      <c r="O742" t="s">
        <v>323</v>
      </c>
      <c r="P742" t="s">
        <v>324</v>
      </c>
      <c r="Q742" t="s">
        <v>245</v>
      </c>
      <c r="U742" s="9"/>
    </row>
    <row r="743" spans="1:21" x14ac:dyDescent="0.25">
      <c r="A743" t="s">
        <v>324</v>
      </c>
      <c r="B743" t="s">
        <v>124</v>
      </c>
      <c r="C743" s="4">
        <f t="shared" ref="C743:M743" si="213">0.000343246436607167 * 0.0574113920162127%</f>
        <v>1.9706255730222168E-7</v>
      </c>
      <c r="D743" s="4">
        <f t="shared" si="213"/>
        <v>1.9706255730222168E-7</v>
      </c>
      <c r="E743" s="4">
        <f t="shared" si="213"/>
        <v>1.9706255730222168E-7</v>
      </c>
      <c r="F743" s="4">
        <f t="shared" si="213"/>
        <v>1.9706255730222168E-7</v>
      </c>
      <c r="G743" s="4">
        <f t="shared" si="213"/>
        <v>1.9706255730222168E-7</v>
      </c>
      <c r="H743" s="4">
        <f t="shared" si="213"/>
        <v>1.9706255730222168E-7</v>
      </c>
      <c r="I743" s="4">
        <f t="shared" si="213"/>
        <v>1.9706255730222168E-7</v>
      </c>
      <c r="J743" s="4">
        <f t="shared" si="213"/>
        <v>1.9706255730222168E-7</v>
      </c>
      <c r="K743" s="4">
        <f t="shared" si="213"/>
        <v>1.9706255730222168E-7</v>
      </c>
      <c r="L743" s="4">
        <f t="shared" si="213"/>
        <v>1.9706255730222168E-7</v>
      </c>
      <c r="M743" s="4">
        <f t="shared" si="213"/>
        <v>1.9706255730222168E-7</v>
      </c>
      <c r="N743" t="s">
        <v>256</v>
      </c>
      <c r="O743" t="s">
        <v>280</v>
      </c>
      <c r="P743" t="s">
        <v>324</v>
      </c>
      <c r="Q743" t="s">
        <v>245</v>
      </c>
      <c r="U743" s="9"/>
    </row>
    <row r="744" spans="1:21" x14ac:dyDescent="0.25">
      <c r="A744" t="s">
        <v>324</v>
      </c>
      <c r="B744" t="s">
        <v>83</v>
      </c>
      <c r="C744" s="4">
        <f t="shared" ref="C744:M744" si="214">0.212937718373242 * 1.65449051691339%</f>
        <v>3.52303435741703E-3</v>
      </c>
      <c r="D744" s="4">
        <f t="shared" si="214"/>
        <v>3.52303435741703E-3</v>
      </c>
      <c r="E744" s="4">
        <f t="shared" si="214"/>
        <v>3.52303435741703E-3</v>
      </c>
      <c r="F744" s="4">
        <f t="shared" si="214"/>
        <v>3.52303435741703E-3</v>
      </c>
      <c r="G744" s="4">
        <f t="shared" si="214"/>
        <v>3.52303435741703E-3</v>
      </c>
      <c r="H744" s="4">
        <f t="shared" si="214"/>
        <v>3.52303435741703E-3</v>
      </c>
      <c r="I744" s="4">
        <f t="shared" si="214"/>
        <v>3.52303435741703E-3</v>
      </c>
      <c r="J744" s="4">
        <f t="shared" si="214"/>
        <v>3.52303435741703E-3</v>
      </c>
      <c r="K744" s="4">
        <f t="shared" si="214"/>
        <v>3.52303435741703E-3</v>
      </c>
      <c r="L744" s="4">
        <f t="shared" si="214"/>
        <v>3.52303435741703E-3</v>
      </c>
      <c r="M744" s="4">
        <f t="shared" si="214"/>
        <v>3.52303435741703E-3</v>
      </c>
      <c r="N744" t="s">
        <v>242</v>
      </c>
      <c r="O744" t="s">
        <v>327</v>
      </c>
      <c r="P744" t="s">
        <v>324</v>
      </c>
      <c r="Q744" t="s">
        <v>245</v>
      </c>
      <c r="U744" s="9"/>
    </row>
    <row r="745" spans="1:21" x14ac:dyDescent="0.25">
      <c r="A745" t="s">
        <v>324</v>
      </c>
      <c r="B745" t="s">
        <v>83</v>
      </c>
      <c r="C745" s="4">
        <f t="shared" ref="C745:M745" si="215">0.755584923910716 * 1.65449051691339%</f>
        <v>1.2501080913330048E-2</v>
      </c>
      <c r="D745" s="4">
        <f t="shared" si="215"/>
        <v>1.2501080913330048E-2</v>
      </c>
      <c r="E745" s="4">
        <f t="shared" si="215"/>
        <v>1.2501080913330048E-2</v>
      </c>
      <c r="F745" s="4">
        <f t="shared" si="215"/>
        <v>1.2501080913330048E-2</v>
      </c>
      <c r="G745" s="4">
        <f t="shared" si="215"/>
        <v>1.2501080913330048E-2</v>
      </c>
      <c r="H745" s="4">
        <f t="shared" si="215"/>
        <v>1.2501080913330048E-2</v>
      </c>
      <c r="I745" s="4">
        <f t="shared" si="215"/>
        <v>1.2501080913330048E-2</v>
      </c>
      <c r="J745" s="4">
        <f t="shared" si="215"/>
        <v>1.2501080913330048E-2</v>
      </c>
      <c r="K745" s="4">
        <f t="shared" si="215"/>
        <v>1.2501080913330048E-2</v>
      </c>
      <c r="L745" s="4">
        <f t="shared" si="215"/>
        <v>1.2501080913330048E-2</v>
      </c>
      <c r="M745" s="4">
        <f t="shared" si="215"/>
        <v>1.2501080913330048E-2</v>
      </c>
      <c r="N745" t="s">
        <v>242</v>
      </c>
      <c r="O745" t="s">
        <v>326</v>
      </c>
      <c r="P745" t="s">
        <v>324</v>
      </c>
      <c r="Q745" t="s">
        <v>245</v>
      </c>
      <c r="U745" s="9"/>
    </row>
    <row r="746" spans="1:21" x14ac:dyDescent="0.25">
      <c r="A746" t="s">
        <v>324</v>
      </c>
      <c r="B746" t="s">
        <v>83</v>
      </c>
      <c r="C746" s="4">
        <f t="shared" ref="C746:M746" si="216">0.00154025450133466 * 1.65449051691339%</f>
        <v>2.5483364660913573E-5</v>
      </c>
      <c r="D746" s="4">
        <f t="shared" si="216"/>
        <v>2.5483364660913573E-5</v>
      </c>
      <c r="E746" s="4">
        <f t="shared" si="216"/>
        <v>2.5483364660913573E-5</v>
      </c>
      <c r="F746" s="4">
        <f t="shared" si="216"/>
        <v>2.5483364660913573E-5</v>
      </c>
      <c r="G746" s="4">
        <f t="shared" si="216"/>
        <v>2.5483364660913573E-5</v>
      </c>
      <c r="H746" s="4">
        <f t="shared" si="216"/>
        <v>2.5483364660913573E-5</v>
      </c>
      <c r="I746" s="4">
        <f t="shared" si="216"/>
        <v>2.5483364660913573E-5</v>
      </c>
      <c r="J746" s="4">
        <f t="shared" si="216"/>
        <v>2.5483364660913573E-5</v>
      </c>
      <c r="K746" s="4">
        <f t="shared" si="216"/>
        <v>2.5483364660913573E-5</v>
      </c>
      <c r="L746" s="4">
        <f t="shared" si="216"/>
        <v>2.5483364660913573E-5</v>
      </c>
      <c r="M746" s="4">
        <f t="shared" si="216"/>
        <v>2.5483364660913573E-5</v>
      </c>
      <c r="N746" t="s">
        <v>242</v>
      </c>
      <c r="O746" t="s">
        <v>289</v>
      </c>
      <c r="P746" t="s">
        <v>324</v>
      </c>
      <c r="Q746" t="s">
        <v>245</v>
      </c>
      <c r="U746" s="9"/>
    </row>
    <row r="747" spans="1:21" x14ac:dyDescent="0.25">
      <c r="A747" t="s">
        <v>324</v>
      </c>
      <c r="B747" t="s">
        <v>83</v>
      </c>
      <c r="C747" s="4">
        <f t="shared" ref="C747:M747" si="217">4.63438553364394E-10 * 1.65449051691339%</f>
        <v>7.6675469171344989E-12</v>
      </c>
      <c r="D747" s="4">
        <f t="shared" si="217"/>
        <v>7.6675469171344989E-12</v>
      </c>
      <c r="E747" s="4">
        <f t="shared" si="217"/>
        <v>7.6675469171344989E-12</v>
      </c>
      <c r="F747" s="4">
        <f t="shared" si="217"/>
        <v>7.6675469171344989E-12</v>
      </c>
      <c r="G747" s="4">
        <f t="shared" si="217"/>
        <v>7.6675469171344989E-12</v>
      </c>
      <c r="H747" s="4">
        <f t="shared" si="217"/>
        <v>7.6675469171344989E-12</v>
      </c>
      <c r="I747" s="4">
        <f t="shared" si="217"/>
        <v>7.6675469171344989E-12</v>
      </c>
      <c r="J747" s="4">
        <f t="shared" si="217"/>
        <v>7.6675469171344989E-12</v>
      </c>
      <c r="K747" s="4">
        <f t="shared" si="217"/>
        <v>7.6675469171344989E-12</v>
      </c>
      <c r="L747" s="4">
        <f t="shared" si="217"/>
        <v>7.6675469171344989E-12</v>
      </c>
      <c r="M747" s="4">
        <f t="shared" si="217"/>
        <v>7.6675469171344989E-12</v>
      </c>
      <c r="N747" t="s">
        <v>256</v>
      </c>
      <c r="O747" t="s">
        <v>322</v>
      </c>
      <c r="P747" t="s">
        <v>324</v>
      </c>
      <c r="Q747" t="s">
        <v>245</v>
      </c>
      <c r="U747" s="9"/>
    </row>
    <row r="748" spans="1:21" x14ac:dyDescent="0.25">
      <c r="A748" t="s">
        <v>324</v>
      </c>
      <c r="B748" t="s">
        <v>83</v>
      </c>
      <c r="C748" s="4">
        <f t="shared" ref="C748:M748" si="218">1.80533525994585E-09 * 1.65449051691339%</f>
        <v>2.9869100674297783E-11</v>
      </c>
      <c r="D748" s="4">
        <f t="shared" si="218"/>
        <v>2.9869100674297783E-11</v>
      </c>
      <c r="E748" s="4">
        <f t="shared" si="218"/>
        <v>2.9869100674297783E-11</v>
      </c>
      <c r="F748" s="4">
        <f t="shared" si="218"/>
        <v>2.9869100674297783E-11</v>
      </c>
      <c r="G748" s="4">
        <f t="shared" si="218"/>
        <v>2.9869100674297783E-11</v>
      </c>
      <c r="H748" s="4">
        <f t="shared" si="218"/>
        <v>2.9869100674297783E-11</v>
      </c>
      <c r="I748" s="4">
        <f t="shared" si="218"/>
        <v>2.9869100674297783E-11</v>
      </c>
      <c r="J748" s="4">
        <f t="shared" si="218"/>
        <v>2.9869100674297783E-11</v>
      </c>
      <c r="K748" s="4">
        <f t="shared" si="218"/>
        <v>2.9869100674297783E-11</v>
      </c>
      <c r="L748" s="4">
        <f t="shared" si="218"/>
        <v>2.9869100674297783E-11</v>
      </c>
      <c r="M748" s="4">
        <f t="shared" si="218"/>
        <v>2.9869100674297783E-11</v>
      </c>
      <c r="N748" t="s">
        <v>256</v>
      </c>
      <c r="O748" t="s">
        <v>323</v>
      </c>
      <c r="P748" t="s">
        <v>324</v>
      </c>
      <c r="Q748" t="s">
        <v>245</v>
      </c>
      <c r="U748" s="9"/>
    </row>
    <row r="749" spans="1:21" x14ac:dyDescent="0.25">
      <c r="A749" t="s">
        <v>324</v>
      </c>
      <c r="B749" t="s">
        <v>83</v>
      </c>
      <c r="C749" s="4">
        <f t="shared" ref="C749:M749" si="219">0.000343246436607167 * 1.65449051691339%</f>
        <v>5.6789797433087088E-6</v>
      </c>
      <c r="D749" s="4">
        <f t="shared" si="219"/>
        <v>5.6789797433087088E-6</v>
      </c>
      <c r="E749" s="4">
        <f t="shared" si="219"/>
        <v>5.6789797433087088E-6</v>
      </c>
      <c r="F749" s="4">
        <f t="shared" si="219"/>
        <v>5.6789797433087088E-6</v>
      </c>
      <c r="G749" s="4">
        <f t="shared" si="219"/>
        <v>5.6789797433087088E-6</v>
      </c>
      <c r="H749" s="4">
        <f t="shared" si="219"/>
        <v>5.6789797433087088E-6</v>
      </c>
      <c r="I749" s="4">
        <f t="shared" si="219"/>
        <v>5.6789797433087088E-6</v>
      </c>
      <c r="J749" s="4">
        <f t="shared" si="219"/>
        <v>5.6789797433087088E-6</v>
      </c>
      <c r="K749" s="4">
        <f t="shared" si="219"/>
        <v>5.6789797433087088E-6</v>
      </c>
      <c r="L749" s="4">
        <f t="shared" si="219"/>
        <v>5.6789797433087088E-6</v>
      </c>
      <c r="M749" s="4">
        <f t="shared" si="219"/>
        <v>5.6789797433087088E-6</v>
      </c>
      <c r="N749" t="s">
        <v>256</v>
      </c>
      <c r="O749" t="s">
        <v>280</v>
      </c>
      <c r="P749" t="s">
        <v>324</v>
      </c>
      <c r="Q749" t="s">
        <v>245</v>
      </c>
      <c r="U749" s="9"/>
    </row>
    <row r="750" spans="1:21" x14ac:dyDescent="0.25">
      <c r="A750" t="s">
        <v>324</v>
      </c>
      <c r="B750" t="s">
        <v>181</v>
      </c>
      <c r="C750" s="4">
        <f t="shared" ref="C750:M750" si="220">0.212937718373242 * 0.500873387204301%</f>
        <v>1.0665483626516121E-3</v>
      </c>
      <c r="D750" s="4">
        <f t="shared" si="220"/>
        <v>1.0665483626516121E-3</v>
      </c>
      <c r="E750" s="4">
        <f t="shared" si="220"/>
        <v>1.0665483626516121E-3</v>
      </c>
      <c r="F750" s="4">
        <f t="shared" si="220"/>
        <v>1.0665483626516121E-3</v>
      </c>
      <c r="G750" s="4">
        <f t="shared" si="220"/>
        <v>1.0665483626516121E-3</v>
      </c>
      <c r="H750" s="4">
        <f t="shared" si="220"/>
        <v>1.0665483626516121E-3</v>
      </c>
      <c r="I750" s="4">
        <f t="shared" si="220"/>
        <v>1.0665483626516121E-3</v>
      </c>
      <c r="J750" s="4">
        <f t="shared" si="220"/>
        <v>1.0665483626516121E-3</v>
      </c>
      <c r="K750" s="4">
        <f t="shared" si="220"/>
        <v>1.0665483626516121E-3</v>
      </c>
      <c r="L750" s="4">
        <f t="shared" si="220"/>
        <v>1.0665483626516121E-3</v>
      </c>
      <c r="M750" s="4">
        <f t="shared" si="220"/>
        <v>1.0665483626516121E-3</v>
      </c>
      <c r="N750" t="s">
        <v>242</v>
      </c>
      <c r="O750" t="s">
        <v>327</v>
      </c>
      <c r="P750" t="s">
        <v>324</v>
      </c>
      <c r="Q750" t="s">
        <v>245</v>
      </c>
      <c r="U750" s="9"/>
    </row>
    <row r="751" spans="1:21" x14ac:dyDescent="0.25">
      <c r="A751" t="s">
        <v>324</v>
      </c>
      <c r="B751" t="s">
        <v>181</v>
      </c>
      <c r="C751" s="4">
        <f t="shared" ref="C751:M751" si="221">0.755584923910716 * 0.500873387204301%</f>
        <v>3.7845238015966429E-3</v>
      </c>
      <c r="D751" s="4">
        <f t="shared" si="221"/>
        <v>3.7845238015966429E-3</v>
      </c>
      <c r="E751" s="4">
        <f t="shared" si="221"/>
        <v>3.7845238015966429E-3</v>
      </c>
      <c r="F751" s="4">
        <f t="shared" si="221"/>
        <v>3.7845238015966429E-3</v>
      </c>
      <c r="G751" s="4">
        <f t="shared" si="221"/>
        <v>3.7845238015966429E-3</v>
      </c>
      <c r="H751" s="4">
        <f t="shared" si="221"/>
        <v>3.7845238015966429E-3</v>
      </c>
      <c r="I751" s="4">
        <f t="shared" si="221"/>
        <v>3.7845238015966429E-3</v>
      </c>
      <c r="J751" s="4">
        <f t="shared" si="221"/>
        <v>3.7845238015966429E-3</v>
      </c>
      <c r="K751" s="4">
        <f t="shared" si="221"/>
        <v>3.7845238015966429E-3</v>
      </c>
      <c r="L751" s="4">
        <f t="shared" si="221"/>
        <v>3.7845238015966429E-3</v>
      </c>
      <c r="M751" s="4">
        <f t="shared" si="221"/>
        <v>3.7845238015966429E-3</v>
      </c>
      <c r="N751" t="s">
        <v>242</v>
      </c>
      <c r="O751" t="s">
        <v>326</v>
      </c>
      <c r="P751" t="s">
        <v>324</v>
      </c>
      <c r="Q751" t="s">
        <v>245</v>
      </c>
      <c r="U751" s="9"/>
    </row>
    <row r="752" spans="1:21" x14ac:dyDescent="0.25">
      <c r="A752" t="s">
        <v>324</v>
      </c>
      <c r="B752" t="s">
        <v>181</v>
      </c>
      <c r="C752" s="4">
        <f t="shared" ref="C752:M752" si="222">0.00154025450133466 * 0.500873387204301%</f>
        <v>7.7147248924016259E-6</v>
      </c>
      <c r="D752" s="4">
        <f t="shared" si="222"/>
        <v>7.7147248924016259E-6</v>
      </c>
      <c r="E752" s="4">
        <f t="shared" si="222"/>
        <v>7.7147248924016259E-6</v>
      </c>
      <c r="F752" s="4">
        <f t="shared" si="222"/>
        <v>7.7147248924016259E-6</v>
      </c>
      <c r="G752" s="4">
        <f t="shared" si="222"/>
        <v>7.7147248924016259E-6</v>
      </c>
      <c r="H752" s="4">
        <f t="shared" si="222"/>
        <v>7.7147248924016259E-6</v>
      </c>
      <c r="I752" s="4">
        <f t="shared" si="222"/>
        <v>7.7147248924016259E-6</v>
      </c>
      <c r="J752" s="4">
        <f t="shared" si="222"/>
        <v>7.7147248924016259E-6</v>
      </c>
      <c r="K752" s="4">
        <f t="shared" si="222"/>
        <v>7.7147248924016259E-6</v>
      </c>
      <c r="L752" s="4">
        <f t="shared" si="222"/>
        <v>7.7147248924016259E-6</v>
      </c>
      <c r="M752" s="4">
        <f t="shared" si="222"/>
        <v>7.7147248924016259E-6</v>
      </c>
      <c r="N752" t="s">
        <v>242</v>
      </c>
      <c r="O752" t="s">
        <v>289</v>
      </c>
      <c r="P752" t="s">
        <v>324</v>
      </c>
      <c r="Q752" t="s">
        <v>245</v>
      </c>
      <c r="U752" s="9"/>
    </row>
    <row r="753" spans="1:21" x14ac:dyDescent="0.25">
      <c r="A753" t="s">
        <v>324</v>
      </c>
      <c r="B753" t="s">
        <v>181</v>
      </c>
      <c r="C753" s="4">
        <f t="shared" ref="C753:M753" si="223">4.63438553364394E-10 * 0.500873387204301%</f>
        <v>2.321240379846852E-12</v>
      </c>
      <c r="D753" s="4">
        <f t="shared" si="223"/>
        <v>2.321240379846852E-12</v>
      </c>
      <c r="E753" s="4">
        <f t="shared" si="223"/>
        <v>2.321240379846852E-12</v>
      </c>
      <c r="F753" s="4">
        <f t="shared" si="223"/>
        <v>2.321240379846852E-12</v>
      </c>
      <c r="G753" s="4">
        <f t="shared" si="223"/>
        <v>2.321240379846852E-12</v>
      </c>
      <c r="H753" s="4">
        <f t="shared" si="223"/>
        <v>2.321240379846852E-12</v>
      </c>
      <c r="I753" s="4">
        <f t="shared" si="223"/>
        <v>2.321240379846852E-12</v>
      </c>
      <c r="J753" s="4">
        <f t="shared" si="223"/>
        <v>2.321240379846852E-12</v>
      </c>
      <c r="K753" s="4">
        <f t="shared" si="223"/>
        <v>2.321240379846852E-12</v>
      </c>
      <c r="L753" s="4">
        <f t="shared" si="223"/>
        <v>2.321240379846852E-12</v>
      </c>
      <c r="M753" s="4">
        <f t="shared" si="223"/>
        <v>2.321240379846852E-12</v>
      </c>
      <c r="N753" t="s">
        <v>256</v>
      </c>
      <c r="O753" t="s">
        <v>322</v>
      </c>
      <c r="P753" t="s">
        <v>324</v>
      </c>
      <c r="Q753" t="s">
        <v>245</v>
      </c>
      <c r="U753" s="9"/>
    </row>
    <row r="754" spans="1:21" x14ac:dyDescent="0.25">
      <c r="A754" t="s">
        <v>324</v>
      </c>
      <c r="B754" t="s">
        <v>181</v>
      </c>
      <c r="C754" s="4">
        <f t="shared" ref="C754:M754" si="224">1.80533525994585E-09 * 0.500873387204301%</f>
        <v>9.0424438668843499E-12</v>
      </c>
      <c r="D754" s="4">
        <f t="shared" si="224"/>
        <v>9.0424438668843499E-12</v>
      </c>
      <c r="E754" s="4">
        <f t="shared" si="224"/>
        <v>9.0424438668843499E-12</v>
      </c>
      <c r="F754" s="4">
        <f t="shared" si="224"/>
        <v>9.0424438668843499E-12</v>
      </c>
      <c r="G754" s="4">
        <f t="shared" si="224"/>
        <v>9.0424438668843499E-12</v>
      </c>
      <c r="H754" s="4">
        <f t="shared" si="224"/>
        <v>9.0424438668843499E-12</v>
      </c>
      <c r="I754" s="4">
        <f t="shared" si="224"/>
        <v>9.0424438668843499E-12</v>
      </c>
      <c r="J754" s="4">
        <f t="shared" si="224"/>
        <v>9.0424438668843499E-12</v>
      </c>
      <c r="K754" s="4">
        <f t="shared" si="224"/>
        <v>9.0424438668843499E-12</v>
      </c>
      <c r="L754" s="4">
        <f t="shared" si="224"/>
        <v>9.0424438668843499E-12</v>
      </c>
      <c r="M754" s="4">
        <f t="shared" si="224"/>
        <v>9.0424438668843499E-12</v>
      </c>
      <c r="N754" t="s">
        <v>256</v>
      </c>
      <c r="O754" t="s">
        <v>323</v>
      </c>
      <c r="P754" t="s">
        <v>324</v>
      </c>
      <c r="Q754" t="s">
        <v>245</v>
      </c>
      <c r="U754" s="9"/>
    </row>
    <row r="755" spans="1:21" x14ac:dyDescent="0.25">
      <c r="A755" t="s">
        <v>324</v>
      </c>
      <c r="B755" t="s">
        <v>181</v>
      </c>
      <c r="C755" s="4">
        <f t="shared" ref="C755:M755" si="225">0.000343246436607167 * 0.500873387204301%</f>
        <v>1.7192300534923809E-6</v>
      </c>
      <c r="D755" s="4">
        <f t="shared" si="225"/>
        <v>1.7192300534923809E-6</v>
      </c>
      <c r="E755" s="4">
        <f t="shared" si="225"/>
        <v>1.7192300534923809E-6</v>
      </c>
      <c r="F755" s="4">
        <f t="shared" si="225"/>
        <v>1.7192300534923809E-6</v>
      </c>
      <c r="G755" s="4">
        <f t="shared" si="225"/>
        <v>1.7192300534923809E-6</v>
      </c>
      <c r="H755" s="4">
        <f t="shared" si="225"/>
        <v>1.7192300534923809E-6</v>
      </c>
      <c r="I755" s="4">
        <f t="shared" si="225"/>
        <v>1.7192300534923809E-6</v>
      </c>
      <c r="J755" s="4">
        <f t="shared" si="225"/>
        <v>1.7192300534923809E-6</v>
      </c>
      <c r="K755" s="4">
        <f t="shared" si="225"/>
        <v>1.7192300534923809E-6</v>
      </c>
      <c r="L755" s="4">
        <f t="shared" si="225"/>
        <v>1.7192300534923809E-6</v>
      </c>
      <c r="M755" s="4">
        <f t="shared" si="225"/>
        <v>1.7192300534923809E-6</v>
      </c>
      <c r="N755" t="s">
        <v>256</v>
      </c>
      <c r="O755" t="s">
        <v>280</v>
      </c>
      <c r="P755" t="s">
        <v>324</v>
      </c>
      <c r="Q755" t="s">
        <v>245</v>
      </c>
      <c r="U755" s="9"/>
    </row>
    <row r="756" spans="1:21" x14ac:dyDescent="0.25">
      <c r="A756" t="s">
        <v>324</v>
      </c>
      <c r="B756" t="s">
        <v>163</v>
      </c>
      <c r="C756" s="4">
        <f t="shared" ref="C756:M756" si="226">0.212937718373242 * 1.53132585762101%</f>
        <v>3.2607703420776588E-3</v>
      </c>
      <c r="D756" s="4">
        <f t="shared" si="226"/>
        <v>3.2607703420776588E-3</v>
      </c>
      <c r="E756" s="4">
        <f t="shared" si="226"/>
        <v>3.2607703420776588E-3</v>
      </c>
      <c r="F756" s="4">
        <f t="shared" si="226"/>
        <v>3.2607703420776588E-3</v>
      </c>
      <c r="G756" s="4">
        <f t="shared" si="226"/>
        <v>3.2607703420776588E-3</v>
      </c>
      <c r="H756" s="4">
        <f t="shared" si="226"/>
        <v>3.2607703420776588E-3</v>
      </c>
      <c r="I756" s="4">
        <f t="shared" si="226"/>
        <v>3.2607703420776588E-3</v>
      </c>
      <c r="J756" s="4">
        <f t="shared" si="226"/>
        <v>3.2607703420776588E-3</v>
      </c>
      <c r="K756" s="4">
        <f t="shared" si="226"/>
        <v>3.2607703420776588E-3</v>
      </c>
      <c r="L756" s="4">
        <f t="shared" si="226"/>
        <v>3.2607703420776588E-3</v>
      </c>
      <c r="M756" s="4">
        <f t="shared" si="226"/>
        <v>3.2607703420776588E-3</v>
      </c>
      <c r="N756" t="s">
        <v>242</v>
      </c>
      <c r="O756" t="s">
        <v>327</v>
      </c>
      <c r="P756" t="s">
        <v>324</v>
      </c>
      <c r="Q756" t="s">
        <v>245</v>
      </c>
    </row>
    <row r="757" spans="1:21" x14ac:dyDescent="0.25">
      <c r="A757" t="s">
        <v>324</v>
      </c>
      <c r="B757" t="s">
        <v>163</v>
      </c>
      <c r="C757" s="4">
        <f t="shared" ref="C757:M757" si="227">0.755584923910716 * 1.53132585762101%</f>
        <v>1.1570467316130827E-2</v>
      </c>
      <c r="D757" s="4">
        <f t="shared" si="227"/>
        <v>1.1570467316130827E-2</v>
      </c>
      <c r="E757" s="4">
        <f t="shared" si="227"/>
        <v>1.1570467316130827E-2</v>
      </c>
      <c r="F757" s="4">
        <f t="shared" si="227"/>
        <v>1.1570467316130827E-2</v>
      </c>
      <c r="G757" s="4">
        <f t="shared" si="227"/>
        <v>1.1570467316130827E-2</v>
      </c>
      <c r="H757" s="4">
        <f t="shared" si="227"/>
        <v>1.1570467316130827E-2</v>
      </c>
      <c r="I757" s="4">
        <f t="shared" si="227"/>
        <v>1.1570467316130827E-2</v>
      </c>
      <c r="J757" s="4">
        <f t="shared" si="227"/>
        <v>1.1570467316130827E-2</v>
      </c>
      <c r="K757" s="4">
        <f t="shared" si="227"/>
        <v>1.1570467316130827E-2</v>
      </c>
      <c r="L757" s="4">
        <f t="shared" si="227"/>
        <v>1.1570467316130827E-2</v>
      </c>
      <c r="M757" s="4">
        <f t="shared" si="227"/>
        <v>1.1570467316130827E-2</v>
      </c>
      <c r="N757" t="s">
        <v>242</v>
      </c>
      <c r="O757" t="s">
        <v>326</v>
      </c>
      <c r="P757" t="s">
        <v>324</v>
      </c>
      <c r="Q757" t="s">
        <v>245</v>
      </c>
    </row>
    <row r="758" spans="1:21" x14ac:dyDescent="0.25">
      <c r="A758" t="s">
        <v>324</v>
      </c>
      <c r="B758" t="s">
        <v>163</v>
      </c>
      <c r="C758" s="4">
        <f t="shared" ref="C758:M758" si="228">0.00154025450133466 * 1.53132585762101%</f>
        <v>2.3586315452109195E-5</v>
      </c>
      <c r="D758" s="4">
        <f t="shared" si="228"/>
        <v>2.3586315452109195E-5</v>
      </c>
      <c r="E758" s="4">
        <f t="shared" si="228"/>
        <v>2.3586315452109195E-5</v>
      </c>
      <c r="F758" s="4">
        <f t="shared" si="228"/>
        <v>2.3586315452109195E-5</v>
      </c>
      <c r="G758" s="4">
        <f t="shared" si="228"/>
        <v>2.3586315452109195E-5</v>
      </c>
      <c r="H758" s="4">
        <f t="shared" si="228"/>
        <v>2.3586315452109195E-5</v>
      </c>
      <c r="I758" s="4">
        <f t="shared" si="228"/>
        <v>2.3586315452109195E-5</v>
      </c>
      <c r="J758" s="4">
        <f t="shared" si="228"/>
        <v>2.3586315452109195E-5</v>
      </c>
      <c r="K758" s="4">
        <f t="shared" si="228"/>
        <v>2.3586315452109195E-5</v>
      </c>
      <c r="L758" s="4">
        <f t="shared" si="228"/>
        <v>2.3586315452109195E-5</v>
      </c>
      <c r="M758" s="4">
        <f t="shared" si="228"/>
        <v>2.3586315452109195E-5</v>
      </c>
      <c r="N758" t="s">
        <v>242</v>
      </c>
      <c r="O758" t="s">
        <v>289</v>
      </c>
      <c r="P758" t="s">
        <v>324</v>
      </c>
      <c r="Q758" t="s">
        <v>245</v>
      </c>
    </row>
    <row r="759" spans="1:21" x14ac:dyDescent="0.25">
      <c r="A759" t="s">
        <v>324</v>
      </c>
      <c r="B759" t="s">
        <v>163</v>
      </c>
      <c r="C759" s="4">
        <f t="shared" ref="C759:M759" si="229">4.63438553364394E-10 * 1.53132585762101%</f>
        <v>7.0967544018537083E-12</v>
      </c>
      <c r="D759" s="4">
        <f t="shared" si="229"/>
        <v>7.0967544018537083E-12</v>
      </c>
      <c r="E759" s="4">
        <f t="shared" si="229"/>
        <v>7.0967544018537083E-12</v>
      </c>
      <c r="F759" s="4">
        <f t="shared" si="229"/>
        <v>7.0967544018537083E-12</v>
      </c>
      <c r="G759" s="4">
        <f t="shared" si="229"/>
        <v>7.0967544018537083E-12</v>
      </c>
      <c r="H759" s="4">
        <f t="shared" si="229"/>
        <v>7.0967544018537083E-12</v>
      </c>
      <c r="I759" s="4">
        <f t="shared" si="229"/>
        <v>7.0967544018537083E-12</v>
      </c>
      <c r="J759" s="4">
        <f t="shared" si="229"/>
        <v>7.0967544018537083E-12</v>
      </c>
      <c r="K759" s="4">
        <f t="shared" si="229"/>
        <v>7.0967544018537083E-12</v>
      </c>
      <c r="L759" s="4">
        <f t="shared" si="229"/>
        <v>7.0967544018537083E-12</v>
      </c>
      <c r="M759" s="4">
        <f t="shared" si="229"/>
        <v>7.0967544018537083E-12</v>
      </c>
      <c r="N759" t="s">
        <v>256</v>
      </c>
      <c r="O759" t="s">
        <v>322</v>
      </c>
      <c r="P759" t="s">
        <v>324</v>
      </c>
      <c r="Q759" t="s">
        <v>245</v>
      </c>
    </row>
    <row r="760" spans="1:21" x14ac:dyDescent="0.25">
      <c r="A760" t="s">
        <v>324</v>
      </c>
      <c r="B760" t="s">
        <v>163</v>
      </c>
      <c r="C760" s="4">
        <f t="shared" ref="C760:M760" si="230">1.80533525994585E-09 * 1.53132585762101%</f>
        <v>2.7645565652300277E-11</v>
      </c>
      <c r="D760" s="4">
        <f t="shared" si="230"/>
        <v>2.7645565652300277E-11</v>
      </c>
      <c r="E760" s="4">
        <f t="shared" si="230"/>
        <v>2.7645565652300277E-11</v>
      </c>
      <c r="F760" s="4">
        <f t="shared" si="230"/>
        <v>2.7645565652300277E-11</v>
      </c>
      <c r="G760" s="4">
        <f t="shared" si="230"/>
        <v>2.7645565652300277E-11</v>
      </c>
      <c r="H760" s="4">
        <f t="shared" si="230"/>
        <v>2.7645565652300277E-11</v>
      </c>
      <c r="I760" s="4">
        <f t="shared" si="230"/>
        <v>2.7645565652300277E-11</v>
      </c>
      <c r="J760" s="4">
        <f t="shared" si="230"/>
        <v>2.7645565652300277E-11</v>
      </c>
      <c r="K760" s="4">
        <f t="shared" si="230"/>
        <v>2.7645565652300277E-11</v>
      </c>
      <c r="L760" s="4">
        <f t="shared" si="230"/>
        <v>2.7645565652300277E-11</v>
      </c>
      <c r="M760" s="4">
        <f t="shared" si="230"/>
        <v>2.7645565652300277E-11</v>
      </c>
      <c r="N760" t="s">
        <v>256</v>
      </c>
      <c r="O760" t="s">
        <v>323</v>
      </c>
      <c r="P760" t="s">
        <v>324</v>
      </c>
      <c r="Q760" t="s">
        <v>245</v>
      </c>
    </row>
    <row r="761" spans="1:21" x14ac:dyDescent="0.25">
      <c r="A761" t="s">
        <v>324</v>
      </c>
      <c r="B761" t="s">
        <v>163</v>
      </c>
      <c r="C761" s="4">
        <f t="shared" ref="C761:M761" si="231">0.000343246436607167 * 1.53132585762101%</f>
        <v>5.2562214391282562E-6</v>
      </c>
      <c r="D761" s="4">
        <f t="shared" si="231"/>
        <v>5.2562214391282562E-6</v>
      </c>
      <c r="E761" s="4">
        <f t="shared" si="231"/>
        <v>5.2562214391282562E-6</v>
      </c>
      <c r="F761" s="4">
        <f t="shared" si="231"/>
        <v>5.2562214391282562E-6</v>
      </c>
      <c r="G761" s="4">
        <f t="shared" si="231"/>
        <v>5.2562214391282562E-6</v>
      </c>
      <c r="H761" s="4">
        <f t="shared" si="231"/>
        <v>5.2562214391282562E-6</v>
      </c>
      <c r="I761" s="4">
        <f t="shared" si="231"/>
        <v>5.2562214391282562E-6</v>
      </c>
      <c r="J761" s="4">
        <f t="shared" si="231"/>
        <v>5.2562214391282562E-6</v>
      </c>
      <c r="K761" s="4">
        <f t="shared" si="231"/>
        <v>5.2562214391282562E-6</v>
      </c>
      <c r="L761" s="4">
        <f t="shared" si="231"/>
        <v>5.2562214391282562E-6</v>
      </c>
      <c r="M761" s="4">
        <f t="shared" si="231"/>
        <v>5.2562214391282562E-6</v>
      </c>
      <c r="N761" t="s">
        <v>256</v>
      </c>
      <c r="O761" t="s">
        <v>280</v>
      </c>
      <c r="P761" t="s">
        <v>324</v>
      </c>
      <c r="Q761" t="s">
        <v>245</v>
      </c>
    </row>
    <row r="762" spans="1:21" x14ac:dyDescent="0.25">
      <c r="A762" t="s">
        <v>324</v>
      </c>
      <c r="B762" t="s">
        <v>144</v>
      </c>
      <c r="C762" s="4">
        <f t="shared" ref="C762:M762" si="232">0.212937718373242 * 0.00998056042064704%</f>
        <v>2.1252377640588647E-5</v>
      </c>
      <c r="D762" s="4">
        <f t="shared" si="232"/>
        <v>2.1252377640588647E-5</v>
      </c>
      <c r="E762" s="4">
        <f t="shared" si="232"/>
        <v>2.1252377640588647E-5</v>
      </c>
      <c r="F762" s="4">
        <f t="shared" si="232"/>
        <v>2.1252377640588647E-5</v>
      </c>
      <c r="G762" s="4">
        <f t="shared" si="232"/>
        <v>2.1252377640588647E-5</v>
      </c>
      <c r="H762" s="4">
        <f t="shared" si="232"/>
        <v>2.1252377640588647E-5</v>
      </c>
      <c r="I762" s="4">
        <f t="shared" si="232"/>
        <v>2.1252377640588647E-5</v>
      </c>
      <c r="J762" s="4">
        <f t="shared" si="232"/>
        <v>2.1252377640588647E-5</v>
      </c>
      <c r="K762" s="4">
        <f t="shared" si="232"/>
        <v>2.1252377640588647E-5</v>
      </c>
      <c r="L762" s="4">
        <f t="shared" si="232"/>
        <v>2.1252377640588647E-5</v>
      </c>
      <c r="M762" s="4">
        <f t="shared" si="232"/>
        <v>2.1252377640588647E-5</v>
      </c>
      <c r="N762" t="s">
        <v>242</v>
      </c>
      <c r="O762" t="s">
        <v>327</v>
      </c>
      <c r="P762" t="s">
        <v>324</v>
      </c>
      <c r="Q762" t="s">
        <v>245</v>
      </c>
    </row>
    <row r="763" spans="1:21" x14ac:dyDescent="0.25">
      <c r="A763" t="s">
        <v>324</v>
      </c>
      <c r="B763" t="s">
        <v>144</v>
      </c>
      <c r="C763" s="4">
        <f t="shared" ref="C763:M763" si="233">0.755584923910716 * 0.00998056042064704%</f>
        <v>7.5411609860208964E-5</v>
      </c>
      <c r="D763" s="4">
        <f t="shared" si="233"/>
        <v>7.5411609860208964E-5</v>
      </c>
      <c r="E763" s="4">
        <f t="shared" si="233"/>
        <v>7.5411609860208964E-5</v>
      </c>
      <c r="F763" s="4">
        <f t="shared" si="233"/>
        <v>7.5411609860208964E-5</v>
      </c>
      <c r="G763" s="4">
        <f t="shared" si="233"/>
        <v>7.5411609860208964E-5</v>
      </c>
      <c r="H763" s="4">
        <f t="shared" si="233"/>
        <v>7.5411609860208964E-5</v>
      </c>
      <c r="I763" s="4">
        <f t="shared" si="233"/>
        <v>7.5411609860208964E-5</v>
      </c>
      <c r="J763" s="4">
        <f t="shared" si="233"/>
        <v>7.5411609860208964E-5</v>
      </c>
      <c r="K763" s="4">
        <f t="shared" si="233"/>
        <v>7.5411609860208964E-5</v>
      </c>
      <c r="L763" s="4">
        <f t="shared" si="233"/>
        <v>7.5411609860208964E-5</v>
      </c>
      <c r="M763" s="4">
        <f t="shared" si="233"/>
        <v>7.5411609860208964E-5</v>
      </c>
      <c r="N763" t="s">
        <v>242</v>
      </c>
      <c r="O763" t="s">
        <v>326</v>
      </c>
      <c r="P763" t="s">
        <v>324</v>
      </c>
      <c r="Q763" t="s">
        <v>245</v>
      </c>
    </row>
    <row r="764" spans="1:21" x14ac:dyDescent="0.25">
      <c r="A764" t="s">
        <v>324</v>
      </c>
      <c r="B764" t="s">
        <v>144</v>
      </c>
      <c r="C764" s="4">
        <f t="shared" ref="C764:M764" si="234">0.00154025450133466 * 0.00998056042064704%</f>
        <v>1.5372603113744149E-7</v>
      </c>
      <c r="D764" s="4">
        <f t="shared" si="234"/>
        <v>1.5372603113744149E-7</v>
      </c>
      <c r="E764" s="4">
        <f t="shared" si="234"/>
        <v>1.5372603113744149E-7</v>
      </c>
      <c r="F764" s="4">
        <f t="shared" si="234"/>
        <v>1.5372603113744149E-7</v>
      </c>
      <c r="G764" s="4">
        <f t="shared" si="234"/>
        <v>1.5372603113744149E-7</v>
      </c>
      <c r="H764" s="4">
        <f t="shared" si="234"/>
        <v>1.5372603113744149E-7</v>
      </c>
      <c r="I764" s="4">
        <f t="shared" si="234"/>
        <v>1.5372603113744149E-7</v>
      </c>
      <c r="J764" s="4">
        <f t="shared" si="234"/>
        <v>1.5372603113744149E-7</v>
      </c>
      <c r="K764" s="4">
        <f t="shared" si="234"/>
        <v>1.5372603113744149E-7</v>
      </c>
      <c r="L764" s="4">
        <f t="shared" si="234"/>
        <v>1.5372603113744149E-7</v>
      </c>
      <c r="M764" s="4">
        <f t="shared" si="234"/>
        <v>1.5372603113744149E-7</v>
      </c>
      <c r="N764" t="s">
        <v>242</v>
      </c>
      <c r="O764" t="s">
        <v>289</v>
      </c>
      <c r="P764" t="s">
        <v>324</v>
      </c>
      <c r="Q764" t="s">
        <v>245</v>
      </c>
    </row>
    <row r="765" spans="1:21" x14ac:dyDescent="0.25">
      <c r="A765" t="s">
        <v>324</v>
      </c>
      <c r="B765" t="s">
        <v>144</v>
      </c>
      <c r="C765" s="4">
        <f t="shared" ref="C765:M765" si="235">4.63438553364394E-10 * 0.00998056042064704%</f>
        <v>4.6253764831105911E-14</v>
      </c>
      <c r="D765" s="4">
        <f t="shared" si="235"/>
        <v>4.6253764831105911E-14</v>
      </c>
      <c r="E765" s="4">
        <f t="shared" si="235"/>
        <v>4.6253764831105911E-14</v>
      </c>
      <c r="F765" s="4">
        <f t="shared" si="235"/>
        <v>4.6253764831105911E-14</v>
      </c>
      <c r="G765" s="4">
        <f t="shared" si="235"/>
        <v>4.6253764831105911E-14</v>
      </c>
      <c r="H765" s="4">
        <f t="shared" si="235"/>
        <v>4.6253764831105911E-14</v>
      </c>
      <c r="I765" s="4">
        <f t="shared" si="235"/>
        <v>4.6253764831105911E-14</v>
      </c>
      <c r="J765" s="4">
        <f t="shared" si="235"/>
        <v>4.6253764831105911E-14</v>
      </c>
      <c r="K765" s="4">
        <f t="shared" si="235"/>
        <v>4.6253764831105911E-14</v>
      </c>
      <c r="L765" s="4">
        <f t="shared" si="235"/>
        <v>4.6253764831105911E-14</v>
      </c>
      <c r="M765" s="4">
        <f t="shared" si="235"/>
        <v>4.6253764831105911E-14</v>
      </c>
      <c r="N765" t="s">
        <v>256</v>
      </c>
      <c r="O765" t="s">
        <v>322</v>
      </c>
      <c r="P765" t="s">
        <v>324</v>
      </c>
      <c r="Q765" t="s">
        <v>245</v>
      </c>
    </row>
    <row r="766" spans="1:21" x14ac:dyDescent="0.25">
      <c r="A766" t="s">
        <v>324</v>
      </c>
      <c r="B766" t="s">
        <v>144</v>
      </c>
      <c r="C766" s="4">
        <f t="shared" ref="C766:M766" si="236">1.80533525994585E-09 * 0.00998056042064704%</f>
        <v>1.8018257641414083E-13</v>
      </c>
      <c r="D766" s="4">
        <f t="shared" si="236"/>
        <v>1.8018257641414083E-13</v>
      </c>
      <c r="E766" s="4">
        <f t="shared" si="236"/>
        <v>1.8018257641414083E-13</v>
      </c>
      <c r="F766" s="4">
        <f t="shared" si="236"/>
        <v>1.8018257641414083E-13</v>
      </c>
      <c r="G766" s="4">
        <f t="shared" si="236"/>
        <v>1.8018257641414083E-13</v>
      </c>
      <c r="H766" s="4">
        <f t="shared" si="236"/>
        <v>1.8018257641414083E-13</v>
      </c>
      <c r="I766" s="4">
        <f t="shared" si="236"/>
        <v>1.8018257641414083E-13</v>
      </c>
      <c r="J766" s="4">
        <f t="shared" si="236"/>
        <v>1.8018257641414083E-13</v>
      </c>
      <c r="K766" s="4">
        <f t="shared" si="236"/>
        <v>1.8018257641414083E-13</v>
      </c>
      <c r="L766" s="4">
        <f t="shared" si="236"/>
        <v>1.8018257641414083E-13</v>
      </c>
      <c r="M766" s="4">
        <f t="shared" si="236"/>
        <v>1.8018257641414083E-13</v>
      </c>
      <c r="N766" t="s">
        <v>256</v>
      </c>
      <c r="O766" t="s">
        <v>323</v>
      </c>
      <c r="P766" t="s">
        <v>324</v>
      </c>
      <c r="Q766" t="s">
        <v>245</v>
      </c>
    </row>
    <row r="767" spans="1:21" x14ac:dyDescent="0.25">
      <c r="A767" t="s">
        <v>324</v>
      </c>
      <c r="B767" t="s">
        <v>144</v>
      </c>
      <c r="C767" s="4">
        <f t="shared" ref="C767:M767" si="237">0.000343246436607167 * 0.00998056042064704%</f>
        <v>3.425791799729624E-8</v>
      </c>
      <c r="D767" s="4">
        <f t="shared" si="237"/>
        <v>3.425791799729624E-8</v>
      </c>
      <c r="E767" s="4">
        <f t="shared" si="237"/>
        <v>3.425791799729624E-8</v>
      </c>
      <c r="F767" s="4">
        <f t="shared" si="237"/>
        <v>3.425791799729624E-8</v>
      </c>
      <c r="G767" s="4">
        <f t="shared" si="237"/>
        <v>3.425791799729624E-8</v>
      </c>
      <c r="H767" s="4">
        <f t="shared" si="237"/>
        <v>3.425791799729624E-8</v>
      </c>
      <c r="I767" s="4">
        <f t="shared" si="237"/>
        <v>3.425791799729624E-8</v>
      </c>
      <c r="J767" s="4">
        <f t="shared" si="237"/>
        <v>3.425791799729624E-8</v>
      </c>
      <c r="K767" s="4">
        <f t="shared" si="237"/>
        <v>3.425791799729624E-8</v>
      </c>
      <c r="L767" s="4">
        <f t="shared" si="237"/>
        <v>3.425791799729624E-8</v>
      </c>
      <c r="M767" s="4">
        <f t="shared" si="237"/>
        <v>3.425791799729624E-8</v>
      </c>
      <c r="N767" t="s">
        <v>256</v>
      </c>
      <c r="O767" t="s">
        <v>280</v>
      </c>
      <c r="P767" t="s">
        <v>324</v>
      </c>
      <c r="Q767" t="s">
        <v>245</v>
      </c>
    </row>
    <row r="768" spans="1:21" x14ac:dyDescent="0.25">
      <c r="A768" t="s">
        <v>324</v>
      </c>
      <c r="B768" t="s">
        <v>85</v>
      </c>
      <c r="C768" s="4">
        <f t="shared" ref="C768:M768" si="238">0.212937718373242 * 0.521131406958594%</f>
        <v>1.1096853277040044E-3</v>
      </c>
      <c r="D768" s="4">
        <f t="shared" si="238"/>
        <v>1.1096853277040044E-3</v>
      </c>
      <c r="E768" s="4">
        <f t="shared" si="238"/>
        <v>1.1096853277040044E-3</v>
      </c>
      <c r="F768" s="4">
        <f t="shared" si="238"/>
        <v>1.1096853277040044E-3</v>
      </c>
      <c r="G768" s="4">
        <f t="shared" si="238"/>
        <v>1.1096853277040044E-3</v>
      </c>
      <c r="H768" s="4">
        <f t="shared" si="238"/>
        <v>1.1096853277040044E-3</v>
      </c>
      <c r="I768" s="4">
        <f t="shared" si="238"/>
        <v>1.1096853277040044E-3</v>
      </c>
      <c r="J768" s="4">
        <f t="shared" si="238"/>
        <v>1.1096853277040044E-3</v>
      </c>
      <c r="K768" s="4">
        <f t="shared" si="238"/>
        <v>1.1096853277040044E-3</v>
      </c>
      <c r="L768" s="4">
        <f t="shared" si="238"/>
        <v>1.1096853277040044E-3</v>
      </c>
      <c r="M768" s="4">
        <f t="shared" si="238"/>
        <v>1.1096853277040044E-3</v>
      </c>
      <c r="N768" t="s">
        <v>242</v>
      </c>
      <c r="O768" t="s">
        <v>327</v>
      </c>
      <c r="P768" t="s">
        <v>324</v>
      </c>
      <c r="Q768" t="s">
        <v>245</v>
      </c>
    </row>
    <row r="769" spans="1:21" x14ac:dyDescent="0.25">
      <c r="A769" t="s">
        <v>324</v>
      </c>
      <c r="B769" t="s">
        <v>85</v>
      </c>
      <c r="C769" s="4">
        <f t="shared" ref="C769:M769" si="239">0.755584923910716 * 0.521131406958594%</f>
        <v>3.9375903447429359E-3</v>
      </c>
      <c r="D769" s="4">
        <f t="shared" si="239"/>
        <v>3.9375903447429359E-3</v>
      </c>
      <c r="E769" s="4">
        <f t="shared" si="239"/>
        <v>3.9375903447429359E-3</v>
      </c>
      <c r="F769" s="4">
        <f t="shared" si="239"/>
        <v>3.9375903447429359E-3</v>
      </c>
      <c r="G769" s="4">
        <f t="shared" si="239"/>
        <v>3.9375903447429359E-3</v>
      </c>
      <c r="H769" s="4">
        <f t="shared" si="239"/>
        <v>3.9375903447429359E-3</v>
      </c>
      <c r="I769" s="4">
        <f t="shared" si="239"/>
        <v>3.9375903447429359E-3</v>
      </c>
      <c r="J769" s="4">
        <f t="shared" si="239"/>
        <v>3.9375903447429359E-3</v>
      </c>
      <c r="K769" s="4">
        <f t="shared" si="239"/>
        <v>3.9375903447429359E-3</v>
      </c>
      <c r="L769" s="4">
        <f t="shared" si="239"/>
        <v>3.9375903447429359E-3</v>
      </c>
      <c r="M769" s="4">
        <f t="shared" si="239"/>
        <v>3.9375903447429359E-3</v>
      </c>
      <c r="N769" t="s">
        <v>242</v>
      </c>
      <c r="O769" t="s">
        <v>326</v>
      </c>
      <c r="P769" t="s">
        <v>324</v>
      </c>
      <c r="Q769" t="s">
        <v>245</v>
      </c>
    </row>
    <row r="770" spans="1:21" x14ac:dyDescent="0.25">
      <c r="A770" t="s">
        <v>324</v>
      </c>
      <c r="B770" t="s">
        <v>85</v>
      </c>
      <c r="C770" s="4">
        <f t="shared" ref="C770:M770" si="240">0.00154025450133466 * 0.521131406958594%</f>
        <v>8.0267499535483886E-6</v>
      </c>
      <c r="D770" s="4">
        <f t="shared" si="240"/>
        <v>8.0267499535483886E-6</v>
      </c>
      <c r="E770" s="4">
        <f t="shared" si="240"/>
        <v>8.0267499535483886E-6</v>
      </c>
      <c r="F770" s="4">
        <f t="shared" si="240"/>
        <v>8.0267499535483886E-6</v>
      </c>
      <c r="G770" s="4">
        <f t="shared" si="240"/>
        <v>8.0267499535483886E-6</v>
      </c>
      <c r="H770" s="4">
        <f t="shared" si="240"/>
        <v>8.0267499535483886E-6</v>
      </c>
      <c r="I770" s="4">
        <f t="shared" si="240"/>
        <v>8.0267499535483886E-6</v>
      </c>
      <c r="J770" s="4">
        <f t="shared" si="240"/>
        <v>8.0267499535483886E-6</v>
      </c>
      <c r="K770" s="4">
        <f t="shared" si="240"/>
        <v>8.0267499535483886E-6</v>
      </c>
      <c r="L770" s="4">
        <f t="shared" si="240"/>
        <v>8.0267499535483886E-6</v>
      </c>
      <c r="M770" s="4">
        <f t="shared" si="240"/>
        <v>8.0267499535483886E-6</v>
      </c>
      <c r="N770" t="s">
        <v>242</v>
      </c>
      <c r="O770" t="s">
        <v>289</v>
      </c>
      <c r="P770" t="s">
        <v>324</v>
      </c>
      <c r="Q770" t="s">
        <v>245</v>
      </c>
    </row>
    <row r="771" spans="1:21" x14ac:dyDescent="0.25">
      <c r="A771" t="s">
        <v>324</v>
      </c>
      <c r="B771" t="s">
        <v>85</v>
      </c>
      <c r="C771" s="4">
        <f t="shared" ref="C771:M771" si="241">4.63438553364394E-10 * 0.521131406958594%</f>
        <v>2.4151238535364206E-12</v>
      </c>
      <c r="D771" s="4">
        <f t="shared" si="241"/>
        <v>2.4151238535364206E-12</v>
      </c>
      <c r="E771" s="4">
        <f t="shared" si="241"/>
        <v>2.4151238535364206E-12</v>
      </c>
      <c r="F771" s="4">
        <f t="shared" si="241"/>
        <v>2.4151238535364206E-12</v>
      </c>
      <c r="G771" s="4">
        <f t="shared" si="241"/>
        <v>2.4151238535364206E-12</v>
      </c>
      <c r="H771" s="4">
        <f t="shared" si="241"/>
        <v>2.4151238535364206E-12</v>
      </c>
      <c r="I771" s="4">
        <f t="shared" si="241"/>
        <v>2.4151238535364206E-12</v>
      </c>
      <c r="J771" s="4">
        <f t="shared" si="241"/>
        <v>2.4151238535364206E-12</v>
      </c>
      <c r="K771" s="4">
        <f t="shared" si="241"/>
        <v>2.4151238535364206E-12</v>
      </c>
      <c r="L771" s="4">
        <f t="shared" si="241"/>
        <v>2.4151238535364206E-12</v>
      </c>
      <c r="M771" s="4">
        <f t="shared" si="241"/>
        <v>2.4151238535364206E-12</v>
      </c>
      <c r="N771" t="s">
        <v>256</v>
      </c>
      <c r="O771" t="s">
        <v>322</v>
      </c>
      <c r="P771" t="s">
        <v>324</v>
      </c>
      <c r="Q771" t="s">
        <v>245</v>
      </c>
    </row>
    <row r="772" spans="1:21" x14ac:dyDescent="0.25">
      <c r="A772" t="s">
        <v>324</v>
      </c>
      <c r="B772" t="s">
        <v>85</v>
      </c>
      <c r="C772" s="4">
        <f t="shared" ref="C772:M772" si="242">1.80533525994585E-09 * 0.521131406958594%</f>
        <v>9.4081690404753975E-12</v>
      </c>
      <c r="D772" s="4">
        <f t="shared" si="242"/>
        <v>9.4081690404753975E-12</v>
      </c>
      <c r="E772" s="4">
        <f t="shared" si="242"/>
        <v>9.4081690404753975E-12</v>
      </c>
      <c r="F772" s="4">
        <f t="shared" si="242"/>
        <v>9.4081690404753975E-12</v>
      </c>
      <c r="G772" s="4">
        <f t="shared" si="242"/>
        <v>9.4081690404753975E-12</v>
      </c>
      <c r="H772" s="4">
        <f t="shared" si="242"/>
        <v>9.4081690404753975E-12</v>
      </c>
      <c r="I772" s="4">
        <f t="shared" si="242"/>
        <v>9.4081690404753975E-12</v>
      </c>
      <c r="J772" s="4">
        <f t="shared" si="242"/>
        <v>9.4081690404753975E-12</v>
      </c>
      <c r="K772" s="4">
        <f t="shared" si="242"/>
        <v>9.4081690404753975E-12</v>
      </c>
      <c r="L772" s="4">
        <f t="shared" si="242"/>
        <v>9.4081690404753975E-12</v>
      </c>
      <c r="M772" s="4">
        <f t="shared" si="242"/>
        <v>9.4081690404753975E-12</v>
      </c>
      <c r="N772" t="s">
        <v>256</v>
      </c>
      <c r="O772" t="s">
        <v>323</v>
      </c>
      <c r="P772" t="s">
        <v>324</v>
      </c>
      <c r="Q772" t="s">
        <v>245</v>
      </c>
    </row>
    <row r="773" spans="1:21" x14ac:dyDescent="0.25">
      <c r="A773" t="s">
        <v>324</v>
      </c>
      <c r="B773" t="s">
        <v>85</v>
      </c>
      <c r="C773" s="4">
        <f t="shared" ref="C773:M773" si="243">0.000343246436607167 * 0.521131406958594%</f>
        <v>1.7887649844261676E-6</v>
      </c>
      <c r="D773" s="4">
        <f t="shared" si="243"/>
        <v>1.7887649844261676E-6</v>
      </c>
      <c r="E773" s="4">
        <f t="shared" si="243"/>
        <v>1.7887649844261676E-6</v>
      </c>
      <c r="F773" s="4">
        <f t="shared" si="243"/>
        <v>1.7887649844261676E-6</v>
      </c>
      <c r="G773" s="4">
        <f t="shared" si="243"/>
        <v>1.7887649844261676E-6</v>
      </c>
      <c r="H773" s="4">
        <f t="shared" si="243"/>
        <v>1.7887649844261676E-6</v>
      </c>
      <c r="I773" s="4">
        <f t="shared" si="243"/>
        <v>1.7887649844261676E-6</v>
      </c>
      <c r="J773" s="4">
        <f t="shared" si="243"/>
        <v>1.7887649844261676E-6</v>
      </c>
      <c r="K773" s="4">
        <f t="shared" si="243"/>
        <v>1.7887649844261676E-6</v>
      </c>
      <c r="L773" s="4">
        <f t="shared" si="243"/>
        <v>1.7887649844261676E-6</v>
      </c>
      <c r="M773" s="4">
        <f t="shared" si="243"/>
        <v>1.7887649844261676E-6</v>
      </c>
      <c r="N773" t="s">
        <v>256</v>
      </c>
      <c r="O773" t="s">
        <v>280</v>
      </c>
      <c r="P773" t="s">
        <v>324</v>
      </c>
      <c r="Q773" t="s">
        <v>245</v>
      </c>
    </row>
    <row r="774" spans="1:21" x14ac:dyDescent="0.25">
      <c r="A774" t="s">
        <v>324</v>
      </c>
      <c r="B774" t="s">
        <v>147</v>
      </c>
      <c r="C774" s="4">
        <f t="shared" ref="C774:M774" si="244">0.212937718373242 * 0.905255447846954%</f>
        <v>1.9276302960947772E-3</v>
      </c>
      <c r="D774" s="4">
        <f t="shared" si="244"/>
        <v>1.9276302960947772E-3</v>
      </c>
      <c r="E774" s="4">
        <f t="shared" si="244"/>
        <v>1.9276302960947772E-3</v>
      </c>
      <c r="F774" s="4">
        <f t="shared" si="244"/>
        <v>1.9276302960947772E-3</v>
      </c>
      <c r="G774" s="4">
        <f t="shared" si="244"/>
        <v>1.9276302960947772E-3</v>
      </c>
      <c r="H774" s="4">
        <f t="shared" si="244"/>
        <v>1.9276302960947772E-3</v>
      </c>
      <c r="I774" s="4">
        <f t="shared" si="244"/>
        <v>1.9276302960947772E-3</v>
      </c>
      <c r="J774" s="4">
        <f t="shared" si="244"/>
        <v>1.9276302960947772E-3</v>
      </c>
      <c r="K774" s="4">
        <f t="shared" si="244"/>
        <v>1.9276302960947772E-3</v>
      </c>
      <c r="L774" s="4">
        <f t="shared" si="244"/>
        <v>1.9276302960947772E-3</v>
      </c>
      <c r="M774" s="4">
        <f t="shared" si="244"/>
        <v>1.9276302960947772E-3</v>
      </c>
      <c r="N774" t="s">
        <v>242</v>
      </c>
      <c r="O774" t="s">
        <v>327</v>
      </c>
      <c r="P774" t="s">
        <v>324</v>
      </c>
      <c r="Q774" t="s">
        <v>245</v>
      </c>
    </row>
    <row r="775" spans="1:21" x14ac:dyDescent="0.25">
      <c r="A775" t="s">
        <v>324</v>
      </c>
      <c r="B775" t="s">
        <v>147</v>
      </c>
      <c r="C775" s="4">
        <f t="shared" ref="C775:M775" si="245">0.755584923910716 * 0.905255447846954%</f>
        <v>6.8399736868120179E-3</v>
      </c>
      <c r="D775" s="4">
        <f t="shared" si="245"/>
        <v>6.8399736868120179E-3</v>
      </c>
      <c r="E775" s="4">
        <f t="shared" si="245"/>
        <v>6.8399736868120179E-3</v>
      </c>
      <c r="F775" s="4">
        <f t="shared" si="245"/>
        <v>6.8399736868120179E-3</v>
      </c>
      <c r="G775" s="4">
        <f t="shared" si="245"/>
        <v>6.8399736868120179E-3</v>
      </c>
      <c r="H775" s="4">
        <f t="shared" si="245"/>
        <v>6.8399736868120179E-3</v>
      </c>
      <c r="I775" s="4">
        <f t="shared" si="245"/>
        <v>6.8399736868120179E-3</v>
      </c>
      <c r="J775" s="4">
        <f t="shared" si="245"/>
        <v>6.8399736868120179E-3</v>
      </c>
      <c r="K775" s="4">
        <f t="shared" si="245"/>
        <v>6.8399736868120179E-3</v>
      </c>
      <c r="L775" s="4">
        <f t="shared" si="245"/>
        <v>6.8399736868120179E-3</v>
      </c>
      <c r="M775" s="4">
        <f t="shared" si="245"/>
        <v>6.8399736868120179E-3</v>
      </c>
      <c r="N775" t="s">
        <v>242</v>
      </c>
      <c r="O775" t="s">
        <v>326</v>
      </c>
      <c r="P775" t="s">
        <v>324</v>
      </c>
      <c r="Q775" t="s">
        <v>245</v>
      </c>
    </row>
    <row r="776" spans="1:21" x14ac:dyDescent="0.25">
      <c r="A776" t="s">
        <v>324</v>
      </c>
      <c r="B776" t="s">
        <v>147</v>
      </c>
      <c r="C776" s="4">
        <f t="shared" ref="C776:M776" si="246">0.00154025450133466 * 0.905255447846954%</f>
        <v>1.3943237784039944E-5</v>
      </c>
      <c r="D776" s="4">
        <f t="shared" si="246"/>
        <v>1.3943237784039944E-5</v>
      </c>
      <c r="E776" s="4">
        <f t="shared" si="246"/>
        <v>1.3943237784039944E-5</v>
      </c>
      <c r="F776" s="4">
        <f t="shared" si="246"/>
        <v>1.3943237784039944E-5</v>
      </c>
      <c r="G776" s="4">
        <f t="shared" si="246"/>
        <v>1.3943237784039944E-5</v>
      </c>
      <c r="H776" s="4">
        <f t="shared" si="246"/>
        <v>1.3943237784039944E-5</v>
      </c>
      <c r="I776" s="4">
        <f t="shared" si="246"/>
        <v>1.3943237784039944E-5</v>
      </c>
      <c r="J776" s="4">
        <f t="shared" si="246"/>
        <v>1.3943237784039944E-5</v>
      </c>
      <c r="K776" s="4">
        <f t="shared" si="246"/>
        <v>1.3943237784039944E-5</v>
      </c>
      <c r="L776" s="4">
        <f t="shared" si="246"/>
        <v>1.3943237784039944E-5</v>
      </c>
      <c r="M776" s="4">
        <f t="shared" si="246"/>
        <v>1.3943237784039944E-5</v>
      </c>
      <c r="N776" t="s">
        <v>242</v>
      </c>
      <c r="O776" t="s">
        <v>289</v>
      </c>
      <c r="P776" t="s">
        <v>324</v>
      </c>
      <c r="Q776" t="s">
        <v>245</v>
      </c>
    </row>
    <row r="777" spans="1:21" x14ac:dyDescent="0.25">
      <c r="A777" t="s">
        <v>324</v>
      </c>
      <c r="B777" t="s">
        <v>147</v>
      </c>
      <c r="C777" s="4">
        <f t="shared" ref="C777:M777" si="247">4.63438553364394E-10 * 0.905255447846954%</f>
        <v>4.1953027517542894E-12</v>
      </c>
      <c r="D777" s="4">
        <f t="shared" si="247"/>
        <v>4.1953027517542894E-12</v>
      </c>
      <c r="E777" s="4">
        <f t="shared" si="247"/>
        <v>4.1953027517542894E-12</v>
      </c>
      <c r="F777" s="4">
        <f t="shared" si="247"/>
        <v>4.1953027517542894E-12</v>
      </c>
      <c r="G777" s="4">
        <f t="shared" si="247"/>
        <v>4.1953027517542894E-12</v>
      </c>
      <c r="H777" s="4">
        <f t="shared" si="247"/>
        <v>4.1953027517542894E-12</v>
      </c>
      <c r="I777" s="4">
        <f t="shared" si="247"/>
        <v>4.1953027517542894E-12</v>
      </c>
      <c r="J777" s="4">
        <f t="shared" si="247"/>
        <v>4.1953027517542894E-12</v>
      </c>
      <c r="K777" s="4">
        <f t="shared" si="247"/>
        <v>4.1953027517542894E-12</v>
      </c>
      <c r="L777" s="4">
        <f t="shared" si="247"/>
        <v>4.1953027517542894E-12</v>
      </c>
      <c r="M777" s="4">
        <f t="shared" si="247"/>
        <v>4.1953027517542894E-12</v>
      </c>
      <c r="N777" t="s">
        <v>256</v>
      </c>
      <c r="O777" t="s">
        <v>322</v>
      </c>
      <c r="P777" t="s">
        <v>324</v>
      </c>
      <c r="Q777" t="s">
        <v>245</v>
      </c>
    </row>
    <row r="778" spans="1:21" x14ac:dyDescent="0.25">
      <c r="A778" t="s">
        <v>324</v>
      </c>
      <c r="B778" t="s">
        <v>147</v>
      </c>
      <c r="C778" s="4">
        <f t="shared" ref="C778:M778" si="248">1.80533525994585E-09 * 0.905255447846954%</f>
        <v>1.6342895792561772E-11</v>
      </c>
      <c r="D778" s="4">
        <f t="shared" si="248"/>
        <v>1.6342895792561772E-11</v>
      </c>
      <c r="E778" s="4">
        <f t="shared" si="248"/>
        <v>1.6342895792561772E-11</v>
      </c>
      <c r="F778" s="4">
        <f t="shared" si="248"/>
        <v>1.6342895792561772E-11</v>
      </c>
      <c r="G778" s="4">
        <f t="shared" si="248"/>
        <v>1.6342895792561772E-11</v>
      </c>
      <c r="H778" s="4">
        <f t="shared" si="248"/>
        <v>1.6342895792561772E-11</v>
      </c>
      <c r="I778" s="4">
        <f t="shared" si="248"/>
        <v>1.6342895792561772E-11</v>
      </c>
      <c r="J778" s="4">
        <f t="shared" si="248"/>
        <v>1.6342895792561772E-11</v>
      </c>
      <c r="K778" s="4">
        <f t="shared" si="248"/>
        <v>1.6342895792561772E-11</v>
      </c>
      <c r="L778" s="4">
        <f t="shared" si="248"/>
        <v>1.6342895792561772E-11</v>
      </c>
      <c r="M778" s="4">
        <f t="shared" si="248"/>
        <v>1.6342895792561772E-11</v>
      </c>
      <c r="N778" t="s">
        <v>256</v>
      </c>
      <c r="O778" t="s">
        <v>323</v>
      </c>
      <c r="P778" t="s">
        <v>324</v>
      </c>
      <c r="Q778" t="s">
        <v>245</v>
      </c>
    </row>
    <row r="779" spans="1:21" x14ac:dyDescent="0.25">
      <c r="A779" t="s">
        <v>324</v>
      </c>
      <c r="B779" t="s">
        <v>147</v>
      </c>
      <c r="C779" s="4">
        <f t="shared" ref="C779:M779" si="249">0.000343246436607167 * 0.905255447846954%</f>
        <v>3.1072570669269202E-6</v>
      </c>
      <c r="D779" s="4">
        <f t="shared" si="249"/>
        <v>3.1072570669269202E-6</v>
      </c>
      <c r="E779" s="4">
        <f t="shared" si="249"/>
        <v>3.1072570669269202E-6</v>
      </c>
      <c r="F779" s="4">
        <f t="shared" si="249"/>
        <v>3.1072570669269202E-6</v>
      </c>
      <c r="G779" s="4">
        <f t="shared" si="249"/>
        <v>3.1072570669269202E-6</v>
      </c>
      <c r="H779" s="4">
        <f t="shared" si="249"/>
        <v>3.1072570669269202E-6</v>
      </c>
      <c r="I779" s="4">
        <f t="shared" si="249"/>
        <v>3.1072570669269202E-6</v>
      </c>
      <c r="J779" s="4">
        <f t="shared" si="249"/>
        <v>3.1072570669269202E-6</v>
      </c>
      <c r="K779" s="4">
        <f t="shared" si="249"/>
        <v>3.1072570669269202E-6</v>
      </c>
      <c r="L779" s="4">
        <f t="shared" si="249"/>
        <v>3.1072570669269202E-6</v>
      </c>
      <c r="M779" s="4">
        <f t="shared" si="249"/>
        <v>3.1072570669269202E-6</v>
      </c>
      <c r="N779" t="s">
        <v>256</v>
      </c>
      <c r="O779" t="s">
        <v>280</v>
      </c>
      <c r="P779" t="s">
        <v>324</v>
      </c>
      <c r="Q779" t="s">
        <v>245</v>
      </c>
    </row>
    <row r="780" spans="1:21" x14ac:dyDescent="0.25">
      <c r="A780" t="s">
        <v>324</v>
      </c>
      <c r="B780" t="s">
        <v>116</v>
      </c>
      <c r="C780" s="4">
        <f t="shared" ref="C780:M780" si="250">0.212937718373242 * 1.20269648841826%</f>
        <v>2.5609944613929456E-3</v>
      </c>
      <c r="D780" s="4">
        <f t="shared" si="250"/>
        <v>2.5609944613929456E-3</v>
      </c>
      <c r="E780" s="4">
        <f t="shared" si="250"/>
        <v>2.5609944613929456E-3</v>
      </c>
      <c r="F780" s="4">
        <f t="shared" si="250"/>
        <v>2.5609944613929456E-3</v>
      </c>
      <c r="G780" s="4">
        <f t="shared" si="250"/>
        <v>2.5609944613929456E-3</v>
      </c>
      <c r="H780" s="4">
        <f t="shared" si="250"/>
        <v>2.5609944613929456E-3</v>
      </c>
      <c r="I780" s="4">
        <f t="shared" si="250"/>
        <v>2.5609944613929456E-3</v>
      </c>
      <c r="J780" s="4">
        <f t="shared" si="250"/>
        <v>2.5609944613929456E-3</v>
      </c>
      <c r="K780" s="4">
        <f t="shared" si="250"/>
        <v>2.5609944613929456E-3</v>
      </c>
      <c r="L780" s="4">
        <f t="shared" si="250"/>
        <v>2.5609944613929456E-3</v>
      </c>
      <c r="M780" s="4">
        <f t="shared" si="250"/>
        <v>2.5609944613929456E-3</v>
      </c>
      <c r="N780" t="s">
        <v>242</v>
      </c>
      <c r="O780" t="s">
        <v>327</v>
      </c>
      <c r="P780" t="s">
        <v>324</v>
      </c>
      <c r="Q780" t="s">
        <v>245</v>
      </c>
      <c r="U780" s="10"/>
    </row>
    <row r="781" spans="1:21" x14ac:dyDescent="0.25">
      <c r="A781" t="s">
        <v>324</v>
      </c>
      <c r="B781" t="s">
        <v>116</v>
      </c>
      <c r="C781" s="4">
        <f t="shared" ref="C781:M781" si="251">0.755584923910716 * 1.20269648841826%</f>
        <v>9.0873933468919622E-3</v>
      </c>
      <c r="D781" s="4">
        <f t="shared" si="251"/>
        <v>9.0873933468919622E-3</v>
      </c>
      <c r="E781" s="4">
        <f t="shared" si="251"/>
        <v>9.0873933468919622E-3</v>
      </c>
      <c r="F781" s="4">
        <f t="shared" si="251"/>
        <v>9.0873933468919622E-3</v>
      </c>
      <c r="G781" s="4">
        <f t="shared" si="251"/>
        <v>9.0873933468919622E-3</v>
      </c>
      <c r="H781" s="4">
        <f t="shared" si="251"/>
        <v>9.0873933468919622E-3</v>
      </c>
      <c r="I781" s="4">
        <f t="shared" si="251"/>
        <v>9.0873933468919622E-3</v>
      </c>
      <c r="J781" s="4">
        <f t="shared" si="251"/>
        <v>9.0873933468919622E-3</v>
      </c>
      <c r="K781" s="4">
        <f t="shared" si="251"/>
        <v>9.0873933468919622E-3</v>
      </c>
      <c r="L781" s="4">
        <f t="shared" si="251"/>
        <v>9.0873933468919622E-3</v>
      </c>
      <c r="M781" s="4">
        <f t="shared" si="251"/>
        <v>9.0873933468919622E-3</v>
      </c>
      <c r="N781" t="s">
        <v>242</v>
      </c>
      <c r="O781" t="s">
        <v>326</v>
      </c>
      <c r="P781" t="s">
        <v>324</v>
      </c>
      <c r="Q781" t="s">
        <v>245</v>
      </c>
      <c r="U781" s="10"/>
    </row>
    <row r="782" spans="1:21" x14ac:dyDescent="0.25">
      <c r="A782" t="s">
        <v>324</v>
      </c>
      <c r="B782" t="s">
        <v>116</v>
      </c>
      <c r="C782" s="4">
        <f t="shared" ref="C782:M782" si="252">0.00154025450133466 * 1.20269648841826%</f>
        <v>1.8524586800256136E-5</v>
      </c>
      <c r="D782" s="4">
        <f t="shared" si="252"/>
        <v>1.8524586800256136E-5</v>
      </c>
      <c r="E782" s="4">
        <f t="shared" si="252"/>
        <v>1.8524586800256136E-5</v>
      </c>
      <c r="F782" s="4">
        <f t="shared" si="252"/>
        <v>1.8524586800256136E-5</v>
      </c>
      <c r="G782" s="4">
        <f t="shared" si="252"/>
        <v>1.8524586800256136E-5</v>
      </c>
      <c r="H782" s="4">
        <f t="shared" si="252"/>
        <v>1.8524586800256136E-5</v>
      </c>
      <c r="I782" s="4">
        <f t="shared" si="252"/>
        <v>1.8524586800256136E-5</v>
      </c>
      <c r="J782" s="4">
        <f t="shared" si="252"/>
        <v>1.8524586800256136E-5</v>
      </c>
      <c r="K782" s="4">
        <f t="shared" si="252"/>
        <v>1.8524586800256136E-5</v>
      </c>
      <c r="L782" s="4">
        <f t="shared" si="252"/>
        <v>1.8524586800256136E-5</v>
      </c>
      <c r="M782" s="4">
        <f t="shared" si="252"/>
        <v>1.8524586800256136E-5</v>
      </c>
      <c r="N782" t="s">
        <v>242</v>
      </c>
      <c r="O782" t="s">
        <v>289</v>
      </c>
      <c r="P782" t="s">
        <v>324</v>
      </c>
      <c r="Q782" t="s">
        <v>245</v>
      </c>
      <c r="U782" s="10"/>
    </row>
    <row r="783" spans="1:21" x14ac:dyDescent="0.25">
      <c r="A783" t="s">
        <v>324</v>
      </c>
      <c r="B783" t="s">
        <v>116</v>
      </c>
      <c r="C783" s="4">
        <f t="shared" ref="C783:M783" si="253">4.63438553364394E-10 * 1.20269648841826%</f>
        <v>5.5737592072899502E-12</v>
      </c>
      <c r="D783" s="4">
        <f t="shared" si="253"/>
        <v>5.5737592072899502E-12</v>
      </c>
      <c r="E783" s="4">
        <f t="shared" si="253"/>
        <v>5.5737592072899502E-12</v>
      </c>
      <c r="F783" s="4">
        <f t="shared" si="253"/>
        <v>5.5737592072899502E-12</v>
      </c>
      <c r="G783" s="4">
        <f t="shared" si="253"/>
        <v>5.5737592072899502E-12</v>
      </c>
      <c r="H783" s="4">
        <f t="shared" si="253"/>
        <v>5.5737592072899502E-12</v>
      </c>
      <c r="I783" s="4">
        <f t="shared" si="253"/>
        <v>5.5737592072899502E-12</v>
      </c>
      <c r="J783" s="4">
        <f t="shared" si="253"/>
        <v>5.5737592072899502E-12</v>
      </c>
      <c r="K783" s="4">
        <f t="shared" si="253"/>
        <v>5.5737592072899502E-12</v>
      </c>
      <c r="L783" s="4">
        <f t="shared" si="253"/>
        <v>5.5737592072899502E-12</v>
      </c>
      <c r="M783" s="4">
        <f t="shared" si="253"/>
        <v>5.5737592072899502E-12</v>
      </c>
      <c r="N783" t="s">
        <v>256</v>
      </c>
      <c r="O783" t="s">
        <v>322</v>
      </c>
      <c r="P783" t="s">
        <v>324</v>
      </c>
      <c r="Q783" t="s">
        <v>245</v>
      </c>
      <c r="U783" s="10"/>
    </row>
    <row r="784" spans="1:21" x14ac:dyDescent="0.25">
      <c r="A784" t="s">
        <v>324</v>
      </c>
      <c r="B784" t="s">
        <v>116</v>
      </c>
      <c r="C784" s="4">
        <f t="shared" ref="C784:M784" si="254">1.80533525994585E-09 * 1.20269648841826%</f>
        <v>2.1712703775545402E-11</v>
      </c>
      <c r="D784" s="4">
        <f t="shared" si="254"/>
        <v>2.1712703775545402E-11</v>
      </c>
      <c r="E784" s="4">
        <f t="shared" si="254"/>
        <v>2.1712703775545402E-11</v>
      </c>
      <c r="F784" s="4">
        <f t="shared" si="254"/>
        <v>2.1712703775545402E-11</v>
      </c>
      <c r="G784" s="4">
        <f t="shared" si="254"/>
        <v>2.1712703775545402E-11</v>
      </c>
      <c r="H784" s="4">
        <f t="shared" si="254"/>
        <v>2.1712703775545402E-11</v>
      </c>
      <c r="I784" s="4">
        <f t="shared" si="254"/>
        <v>2.1712703775545402E-11</v>
      </c>
      <c r="J784" s="4">
        <f t="shared" si="254"/>
        <v>2.1712703775545402E-11</v>
      </c>
      <c r="K784" s="4">
        <f t="shared" si="254"/>
        <v>2.1712703775545402E-11</v>
      </c>
      <c r="L784" s="4">
        <f t="shared" si="254"/>
        <v>2.1712703775545402E-11</v>
      </c>
      <c r="M784" s="4">
        <f t="shared" si="254"/>
        <v>2.1712703775545402E-11</v>
      </c>
      <c r="N784" t="s">
        <v>256</v>
      </c>
      <c r="O784" t="s">
        <v>323</v>
      </c>
      <c r="P784" t="s">
        <v>324</v>
      </c>
      <c r="Q784" t="s">
        <v>245</v>
      </c>
      <c r="U784" s="10"/>
    </row>
    <row r="785" spans="1:21" x14ac:dyDescent="0.25">
      <c r="A785" t="s">
        <v>324</v>
      </c>
      <c r="B785" t="s">
        <v>116</v>
      </c>
      <c r="C785" s="4">
        <f t="shared" ref="C785:M785" si="255">0.000343246436607167 * 1.20269648841826%</f>
        <v>4.1282128396952059E-6</v>
      </c>
      <c r="D785" s="4">
        <f t="shared" si="255"/>
        <v>4.1282128396952059E-6</v>
      </c>
      <c r="E785" s="4">
        <f t="shared" si="255"/>
        <v>4.1282128396952059E-6</v>
      </c>
      <c r="F785" s="4">
        <f t="shared" si="255"/>
        <v>4.1282128396952059E-6</v>
      </c>
      <c r="G785" s="4">
        <f t="shared" si="255"/>
        <v>4.1282128396952059E-6</v>
      </c>
      <c r="H785" s="4">
        <f t="shared" si="255"/>
        <v>4.1282128396952059E-6</v>
      </c>
      <c r="I785" s="4">
        <f t="shared" si="255"/>
        <v>4.1282128396952059E-6</v>
      </c>
      <c r="J785" s="4">
        <f t="shared" si="255"/>
        <v>4.1282128396952059E-6</v>
      </c>
      <c r="K785" s="4">
        <f t="shared" si="255"/>
        <v>4.1282128396952059E-6</v>
      </c>
      <c r="L785" s="4">
        <f t="shared" si="255"/>
        <v>4.1282128396952059E-6</v>
      </c>
      <c r="M785" s="4">
        <f t="shared" si="255"/>
        <v>4.1282128396952059E-6</v>
      </c>
      <c r="N785" t="s">
        <v>256</v>
      </c>
      <c r="O785" t="s">
        <v>280</v>
      </c>
      <c r="P785" t="s">
        <v>324</v>
      </c>
      <c r="Q785" t="s">
        <v>245</v>
      </c>
      <c r="U785" s="10"/>
    </row>
    <row r="786" spans="1:21" x14ac:dyDescent="0.25">
      <c r="A786" t="s">
        <v>324</v>
      </c>
      <c r="B786" t="s">
        <v>145</v>
      </c>
      <c r="C786" s="4">
        <f t="shared" ref="C786:M786" si="256">0.212937718373242 * 9.64765636322731%</f>
        <v>2.054349933634713E-2</v>
      </c>
      <c r="D786" s="4">
        <f t="shared" si="256"/>
        <v>2.054349933634713E-2</v>
      </c>
      <c r="E786" s="4">
        <f t="shared" si="256"/>
        <v>2.054349933634713E-2</v>
      </c>
      <c r="F786" s="4">
        <f t="shared" si="256"/>
        <v>2.054349933634713E-2</v>
      </c>
      <c r="G786" s="4">
        <f t="shared" si="256"/>
        <v>2.054349933634713E-2</v>
      </c>
      <c r="H786" s="4">
        <f t="shared" si="256"/>
        <v>2.054349933634713E-2</v>
      </c>
      <c r="I786" s="4">
        <f t="shared" si="256"/>
        <v>2.054349933634713E-2</v>
      </c>
      <c r="J786" s="4">
        <f t="shared" si="256"/>
        <v>2.054349933634713E-2</v>
      </c>
      <c r="K786" s="4">
        <f t="shared" si="256"/>
        <v>2.054349933634713E-2</v>
      </c>
      <c r="L786" s="4">
        <f t="shared" si="256"/>
        <v>2.054349933634713E-2</v>
      </c>
      <c r="M786" s="4">
        <f t="shared" si="256"/>
        <v>2.054349933634713E-2</v>
      </c>
      <c r="N786" t="s">
        <v>242</v>
      </c>
      <c r="O786" t="s">
        <v>327</v>
      </c>
      <c r="P786" t="s">
        <v>324</v>
      </c>
      <c r="Q786" t="s">
        <v>245</v>
      </c>
    </row>
    <row r="787" spans="1:21" x14ac:dyDescent="0.25">
      <c r="A787" t="s">
        <v>324</v>
      </c>
      <c r="B787" t="s">
        <v>145</v>
      </c>
      <c r="C787" s="4">
        <f t="shared" ref="C787:M787" si="257">0.755584923910716 * 9.64765636322731%</f>
        <v>7.2896236991258412E-2</v>
      </c>
      <c r="D787" s="4">
        <f t="shared" si="257"/>
        <v>7.2896236991258412E-2</v>
      </c>
      <c r="E787" s="4">
        <f t="shared" si="257"/>
        <v>7.2896236991258412E-2</v>
      </c>
      <c r="F787" s="4">
        <f t="shared" si="257"/>
        <v>7.2896236991258412E-2</v>
      </c>
      <c r="G787" s="4">
        <f t="shared" si="257"/>
        <v>7.2896236991258412E-2</v>
      </c>
      <c r="H787" s="4">
        <f t="shared" si="257"/>
        <v>7.2896236991258412E-2</v>
      </c>
      <c r="I787" s="4">
        <f t="shared" si="257"/>
        <v>7.2896236991258412E-2</v>
      </c>
      <c r="J787" s="4">
        <f t="shared" si="257"/>
        <v>7.2896236991258412E-2</v>
      </c>
      <c r="K787" s="4">
        <f t="shared" si="257"/>
        <v>7.2896236991258412E-2</v>
      </c>
      <c r="L787" s="4">
        <f t="shared" si="257"/>
        <v>7.2896236991258412E-2</v>
      </c>
      <c r="M787" s="4">
        <f t="shared" si="257"/>
        <v>7.2896236991258412E-2</v>
      </c>
      <c r="N787" t="s">
        <v>242</v>
      </c>
      <c r="O787" t="s">
        <v>326</v>
      </c>
      <c r="P787" t="s">
        <v>324</v>
      </c>
      <c r="Q787" t="s">
        <v>245</v>
      </c>
    </row>
    <row r="788" spans="1:21" x14ac:dyDescent="0.25">
      <c r="A788" t="s">
        <v>324</v>
      </c>
      <c r="B788" t="s">
        <v>145</v>
      </c>
      <c r="C788" s="4">
        <f t="shared" ref="C788:M788" si="258">0.00154025450133466 * 9.64765636322731%</f>
        <v>1.4859846140790838E-4</v>
      </c>
      <c r="D788" s="4">
        <f t="shared" si="258"/>
        <v>1.4859846140790838E-4</v>
      </c>
      <c r="E788" s="4">
        <f t="shared" si="258"/>
        <v>1.4859846140790838E-4</v>
      </c>
      <c r="F788" s="4">
        <f t="shared" si="258"/>
        <v>1.4859846140790838E-4</v>
      </c>
      <c r="G788" s="4">
        <f t="shared" si="258"/>
        <v>1.4859846140790838E-4</v>
      </c>
      <c r="H788" s="4">
        <f t="shared" si="258"/>
        <v>1.4859846140790838E-4</v>
      </c>
      <c r="I788" s="4">
        <f t="shared" si="258"/>
        <v>1.4859846140790838E-4</v>
      </c>
      <c r="J788" s="4">
        <f t="shared" si="258"/>
        <v>1.4859846140790838E-4</v>
      </c>
      <c r="K788" s="4">
        <f t="shared" si="258"/>
        <v>1.4859846140790838E-4</v>
      </c>
      <c r="L788" s="4">
        <f t="shared" si="258"/>
        <v>1.4859846140790838E-4</v>
      </c>
      <c r="M788" s="4">
        <f t="shared" si="258"/>
        <v>1.4859846140790838E-4</v>
      </c>
      <c r="N788" t="s">
        <v>242</v>
      </c>
      <c r="O788" t="s">
        <v>289</v>
      </c>
      <c r="P788" t="s">
        <v>324</v>
      </c>
      <c r="Q788" t="s">
        <v>245</v>
      </c>
    </row>
    <row r="789" spans="1:21" x14ac:dyDescent="0.25">
      <c r="A789" t="s">
        <v>324</v>
      </c>
      <c r="B789" t="s">
        <v>145</v>
      </c>
      <c r="C789" s="4">
        <f t="shared" ref="C789:M789" si="259">4.63438553364394E-10 * 9.64765636322731%</f>
        <v>4.471095908330855E-11</v>
      </c>
      <c r="D789" s="4">
        <f t="shared" si="259"/>
        <v>4.471095908330855E-11</v>
      </c>
      <c r="E789" s="4">
        <f t="shared" si="259"/>
        <v>4.471095908330855E-11</v>
      </c>
      <c r="F789" s="4">
        <f t="shared" si="259"/>
        <v>4.471095908330855E-11</v>
      </c>
      <c r="G789" s="4">
        <f t="shared" si="259"/>
        <v>4.471095908330855E-11</v>
      </c>
      <c r="H789" s="4">
        <f t="shared" si="259"/>
        <v>4.471095908330855E-11</v>
      </c>
      <c r="I789" s="4">
        <f t="shared" si="259"/>
        <v>4.471095908330855E-11</v>
      </c>
      <c r="J789" s="4">
        <f t="shared" si="259"/>
        <v>4.471095908330855E-11</v>
      </c>
      <c r="K789" s="4">
        <f t="shared" si="259"/>
        <v>4.471095908330855E-11</v>
      </c>
      <c r="L789" s="4">
        <f t="shared" si="259"/>
        <v>4.471095908330855E-11</v>
      </c>
      <c r="M789" s="4">
        <f t="shared" si="259"/>
        <v>4.471095908330855E-11</v>
      </c>
      <c r="N789" t="s">
        <v>256</v>
      </c>
      <c r="O789" t="s">
        <v>322</v>
      </c>
      <c r="P789" t="s">
        <v>324</v>
      </c>
      <c r="Q789" t="s">
        <v>245</v>
      </c>
    </row>
    <row r="790" spans="1:21" x14ac:dyDescent="0.25">
      <c r="A790" t="s">
        <v>324</v>
      </c>
      <c r="B790" t="s">
        <v>145</v>
      </c>
      <c r="C790" s="4">
        <f t="shared" ref="C790:M790" si="260">1.80533525994585E-09 * 9.64765636322731%</f>
        <v>1.7417254208375207E-10</v>
      </c>
      <c r="D790" s="4">
        <f t="shared" si="260"/>
        <v>1.7417254208375207E-10</v>
      </c>
      <c r="E790" s="4">
        <f t="shared" si="260"/>
        <v>1.7417254208375207E-10</v>
      </c>
      <c r="F790" s="4">
        <f t="shared" si="260"/>
        <v>1.7417254208375207E-10</v>
      </c>
      <c r="G790" s="4">
        <f t="shared" si="260"/>
        <v>1.7417254208375207E-10</v>
      </c>
      <c r="H790" s="4">
        <f t="shared" si="260"/>
        <v>1.7417254208375207E-10</v>
      </c>
      <c r="I790" s="4">
        <f t="shared" si="260"/>
        <v>1.7417254208375207E-10</v>
      </c>
      <c r="J790" s="4">
        <f t="shared" si="260"/>
        <v>1.7417254208375207E-10</v>
      </c>
      <c r="K790" s="4">
        <f t="shared" si="260"/>
        <v>1.7417254208375207E-10</v>
      </c>
      <c r="L790" s="4">
        <f t="shared" si="260"/>
        <v>1.7417254208375207E-10</v>
      </c>
      <c r="M790" s="4">
        <f t="shared" si="260"/>
        <v>1.7417254208375207E-10</v>
      </c>
      <c r="N790" t="s">
        <v>256</v>
      </c>
      <c r="O790" t="s">
        <v>323</v>
      </c>
      <c r="P790" t="s">
        <v>324</v>
      </c>
      <c r="Q790" t="s">
        <v>245</v>
      </c>
    </row>
    <row r="791" spans="1:21" x14ac:dyDescent="0.25">
      <c r="A791" t="s">
        <v>324</v>
      </c>
      <c r="B791" t="s">
        <v>145</v>
      </c>
      <c r="C791" s="4">
        <f t="shared" ref="C791:M791" si="261">0.000343246436607167 * 9.64765636322731%</f>
        <v>3.3115236682882342E-5</v>
      </c>
      <c r="D791" s="4">
        <f t="shared" si="261"/>
        <v>3.3115236682882342E-5</v>
      </c>
      <c r="E791" s="4">
        <f t="shared" si="261"/>
        <v>3.3115236682882342E-5</v>
      </c>
      <c r="F791" s="4">
        <f t="shared" si="261"/>
        <v>3.3115236682882342E-5</v>
      </c>
      <c r="G791" s="4">
        <f t="shared" si="261"/>
        <v>3.3115236682882342E-5</v>
      </c>
      <c r="H791" s="4">
        <f t="shared" si="261"/>
        <v>3.3115236682882342E-5</v>
      </c>
      <c r="I791" s="4">
        <f t="shared" si="261"/>
        <v>3.3115236682882342E-5</v>
      </c>
      <c r="J791" s="4">
        <f t="shared" si="261"/>
        <v>3.3115236682882342E-5</v>
      </c>
      <c r="K791" s="4">
        <f t="shared" si="261"/>
        <v>3.3115236682882342E-5</v>
      </c>
      <c r="L791" s="4">
        <f t="shared" si="261"/>
        <v>3.3115236682882342E-5</v>
      </c>
      <c r="M791" s="4">
        <f t="shared" si="261"/>
        <v>3.3115236682882342E-5</v>
      </c>
      <c r="N791" t="s">
        <v>256</v>
      </c>
      <c r="O791" t="s">
        <v>280</v>
      </c>
      <c r="P791" t="s">
        <v>324</v>
      </c>
      <c r="Q791" t="s">
        <v>245</v>
      </c>
    </row>
    <row r="792" spans="1:21" x14ac:dyDescent="0.25">
      <c r="A792" t="s">
        <v>324</v>
      </c>
      <c r="B792" t="s">
        <v>86</v>
      </c>
      <c r="C792" s="4">
        <f t="shared" ref="C792:M792" si="262">0.212937718373242 * 39.5633073000283%</f>
        <v>8.4245203877674549E-2</v>
      </c>
      <c r="D792" s="4">
        <f t="shared" si="262"/>
        <v>8.4245203877674549E-2</v>
      </c>
      <c r="E792" s="4">
        <f t="shared" si="262"/>
        <v>8.4245203877674549E-2</v>
      </c>
      <c r="F792" s="4">
        <f t="shared" si="262"/>
        <v>8.4245203877674549E-2</v>
      </c>
      <c r="G792" s="4">
        <f t="shared" si="262"/>
        <v>8.4245203877674549E-2</v>
      </c>
      <c r="H792" s="4">
        <f t="shared" si="262"/>
        <v>8.4245203877674549E-2</v>
      </c>
      <c r="I792" s="4">
        <f t="shared" si="262"/>
        <v>8.4245203877674549E-2</v>
      </c>
      <c r="J792" s="4">
        <f t="shared" si="262"/>
        <v>8.4245203877674549E-2</v>
      </c>
      <c r="K792" s="4">
        <f t="shared" si="262"/>
        <v>8.4245203877674549E-2</v>
      </c>
      <c r="L792" s="4">
        <f t="shared" si="262"/>
        <v>8.4245203877674549E-2</v>
      </c>
      <c r="M792" s="4">
        <f t="shared" si="262"/>
        <v>8.4245203877674549E-2</v>
      </c>
      <c r="N792" t="s">
        <v>242</v>
      </c>
      <c r="O792" t="s">
        <v>327</v>
      </c>
      <c r="P792" t="s">
        <v>324</v>
      </c>
      <c r="Q792" t="s">
        <v>245</v>
      </c>
    </row>
    <row r="793" spans="1:21" x14ac:dyDescent="0.25">
      <c r="A793" t="s">
        <v>324</v>
      </c>
      <c r="B793" t="s">
        <v>86</v>
      </c>
      <c r="C793" s="4">
        <f t="shared" ref="C793:M793" si="263">0.755584923910716 * 39.5633073000283%</f>
        <v>0.29893438535948158</v>
      </c>
      <c r="D793" s="4">
        <f t="shared" si="263"/>
        <v>0.29893438535948158</v>
      </c>
      <c r="E793" s="4">
        <f t="shared" si="263"/>
        <v>0.29893438535948158</v>
      </c>
      <c r="F793" s="4">
        <f t="shared" si="263"/>
        <v>0.29893438535948158</v>
      </c>
      <c r="G793" s="4">
        <f t="shared" si="263"/>
        <v>0.29893438535948158</v>
      </c>
      <c r="H793" s="4">
        <f t="shared" si="263"/>
        <v>0.29893438535948158</v>
      </c>
      <c r="I793" s="4">
        <f t="shared" si="263"/>
        <v>0.29893438535948158</v>
      </c>
      <c r="J793" s="4">
        <f t="shared" si="263"/>
        <v>0.29893438535948158</v>
      </c>
      <c r="K793" s="4">
        <f t="shared" si="263"/>
        <v>0.29893438535948158</v>
      </c>
      <c r="L793" s="4">
        <f t="shared" si="263"/>
        <v>0.29893438535948158</v>
      </c>
      <c r="M793" s="4">
        <f t="shared" si="263"/>
        <v>0.29893438535948158</v>
      </c>
      <c r="N793" t="s">
        <v>242</v>
      </c>
      <c r="O793" t="s">
        <v>326</v>
      </c>
      <c r="P793" t="s">
        <v>324</v>
      </c>
      <c r="Q793" t="s">
        <v>245</v>
      </c>
    </row>
    <row r="794" spans="1:21" x14ac:dyDescent="0.25">
      <c r="A794" t="s">
        <v>324</v>
      </c>
      <c r="B794" t="s">
        <v>86</v>
      </c>
      <c r="C794" s="4">
        <f t="shared" ref="C794:M794" si="264">0.00154025450133466 * 39.5633073000283%</f>
        <v>6.0937562156555001E-4</v>
      </c>
      <c r="D794" s="4">
        <f t="shared" si="264"/>
        <v>6.0937562156555001E-4</v>
      </c>
      <c r="E794" s="4">
        <f t="shared" si="264"/>
        <v>6.0937562156555001E-4</v>
      </c>
      <c r="F794" s="4">
        <f t="shared" si="264"/>
        <v>6.0937562156555001E-4</v>
      </c>
      <c r="G794" s="4">
        <f t="shared" si="264"/>
        <v>6.0937562156555001E-4</v>
      </c>
      <c r="H794" s="4">
        <f t="shared" si="264"/>
        <v>6.0937562156555001E-4</v>
      </c>
      <c r="I794" s="4">
        <f t="shared" si="264"/>
        <v>6.0937562156555001E-4</v>
      </c>
      <c r="J794" s="4">
        <f t="shared" si="264"/>
        <v>6.0937562156555001E-4</v>
      </c>
      <c r="K794" s="4">
        <f t="shared" si="264"/>
        <v>6.0937562156555001E-4</v>
      </c>
      <c r="L794" s="4">
        <f t="shared" si="264"/>
        <v>6.0937562156555001E-4</v>
      </c>
      <c r="M794" s="4">
        <f t="shared" si="264"/>
        <v>6.0937562156555001E-4</v>
      </c>
      <c r="N794" t="s">
        <v>242</v>
      </c>
      <c r="O794" t="s">
        <v>289</v>
      </c>
      <c r="P794" t="s">
        <v>324</v>
      </c>
      <c r="Q794" t="s">
        <v>245</v>
      </c>
    </row>
    <row r="795" spans="1:21" x14ac:dyDescent="0.25">
      <c r="A795" t="s">
        <v>324</v>
      </c>
      <c r="B795" t="s">
        <v>86</v>
      </c>
      <c r="C795" s="4">
        <f t="shared" ref="C795:M795" si="265">4.63438553364394E-10 * 39.5633073000283%</f>
        <v>1.8335161901436084E-10</v>
      </c>
      <c r="D795" s="4">
        <f t="shared" si="265"/>
        <v>1.8335161901436084E-10</v>
      </c>
      <c r="E795" s="4">
        <f t="shared" si="265"/>
        <v>1.8335161901436084E-10</v>
      </c>
      <c r="F795" s="4">
        <f t="shared" si="265"/>
        <v>1.8335161901436084E-10</v>
      </c>
      <c r="G795" s="4">
        <f t="shared" si="265"/>
        <v>1.8335161901436084E-10</v>
      </c>
      <c r="H795" s="4">
        <f t="shared" si="265"/>
        <v>1.8335161901436084E-10</v>
      </c>
      <c r="I795" s="4">
        <f t="shared" si="265"/>
        <v>1.8335161901436084E-10</v>
      </c>
      <c r="J795" s="4">
        <f t="shared" si="265"/>
        <v>1.8335161901436084E-10</v>
      </c>
      <c r="K795" s="4">
        <f t="shared" si="265"/>
        <v>1.8335161901436084E-10</v>
      </c>
      <c r="L795" s="4">
        <f t="shared" si="265"/>
        <v>1.8335161901436084E-10</v>
      </c>
      <c r="M795" s="4">
        <f t="shared" si="265"/>
        <v>1.8335161901436084E-10</v>
      </c>
      <c r="N795" t="s">
        <v>256</v>
      </c>
      <c r="O795" t="s">
        <v>322</v>
      </c>
      <c r="P795" t="s">
        <v>324</v>
      </c>
      <c r="Q795" t="s">
        <v>245</v>
      </c>
    </row>
    <row r="796" spans="1:21" x14ac:dyDescent="0.25">
      <c r="A796" t="s">
        <v>324</v>
      </c>
      <c r="B796" t="s">
        <v>86</v>
      </c>
      <c r="C796" s="4">
        <f t="shared" ref="C796:M796" si="266">1.80533525994585E-09 * 39.5633073000283%</f>
        <v>7.1425033668814135E-10</v>
      </c>
      <c r="D796" s="4">
        <f t="shared" si="266"/>
        <v>7.1425033668814135E-10</v>
      </c>
      <c r="E796" s="4">
        <f t="shared" si="266"/>
        <v>7.1425033668814135E-10</v>
      </c>
      <c r="F796" s="4">
        <f t="shared" si="266"/>
        <v>7.1425033668814135E-10</v>
      </c>
      <c r="G796" s="4">
        <f t="shared" si="266"/>
        <v>7.1425033668814135E-10</v>
      </c>
      <c r="H796" s="4">
        <f t="shared" si="266"/>
        <v>7.1425033668814135E-10</v>
      </c>
      <c r="I796" s="4">
        <f t="shared" si="266"/>
        <v>7.1425033668814135E-10</v>
      </c>
      <c r="J796" s="4">
        <f t="shared" si="266"/>
        <v>7.1425033668814135E-10</v>
      </c>
      <c r="K796" s="4">
        <f t="shared" si="266"/>
        <v>7.1425033668814135E-10</v>
      </c>
      <c r="L796" s="4">
        <f t="shared" si="266"/>
        <v>7.1425033668814135E-10</v>
      </c>
      <c r="M796" s="4">
        <f t="shared" si="266"/>
        <v>7.1425033668814135E-10</v>
      </c>
      <c r="N796" t="s">
        <v>256</v>
      </c>
      <c r="O796" t="s">
        <v>323</v>
      </c>
      <c r="P796" t="s">
        <v>324</v>
      </c>
      <c r="Q796" t="s">
        <v>245</v>
      </c>
    </row>
    <row r="797" spans="1:21" x14ac:dyDescent="0.25">
      <c r="A797" t="s">
        <v>324</v>
      </c>
      <c r="B797" t="s">
        <v>86</v>
      </c>
      <c r="C797" s="4">
        <f t="shared" ref="C797:M797" si="267">0.000343246436607167 * 39.5633073000283%</f>
        <v>1.357996425112903E-4</v>
      </c>
      <c r="D797" s="4">
        <f t="shared" si="267"/>
        <v>1.357996425112903E-4</v>
      </c>
      <c r="E797" s="4">
        <f t="shared" si="267"/>
        <v>1.357996425112903E-4</v>
      </c>
      <c r="F797" s="4">
        <f t="shared" si="267"/>
        <v>1.357996425112903E-4</v>
      </c>
      <c r="G797" s="4">
        <f t="shared" si="267"/>
        <v>1.357996425112903E-4</v>
      </c>
      <c r="H797" s="4">
        <f t="shared" si="267"/>
        <v>1.357996425112903E-4</v>
      </c>
      <c r="I797" s="4">
        <f t="shared" si="267"/>
        <v>1.357996425112903E-4</v>
      </c>
      <c r="J797" s="4">
        <f t="shared" si="267"/>
        <v>1.357996425112903E-4</v>
      </c>
      <c r="K797" s="4">
        <f t="shared" si="267"/>
        <v>1.357996425112903E-4</v>
      </c>
      <c r="L797" s="4">
        <f t="shared" si="267"/>
        <v>1.357996425112903E-4</v>
      </c>
      <c r="M797" s="4">
        <f t="shared" si="267"/>
        <v>1.357996425112903E-4</v>
      </c>
      <c r="N797" t="s">
        <v>256</v>
      </c>
      <c r="O797" t="s">
        <v>280</v>
      </c>
      <c r="P797" t="s">
        <v>324</v>
      </c>
      <c r="Q797" t="s">
        <v>245</v>
      </c>
    </row>
    <row r="798" spans="1:21" x14ac:dyDescent="0.25">
      <c r="A798" t="s">
        <v>324</v>
      </c>
      <c r="B798" t="s">
        <v>159</v>
      </c>
      <c r="C798" s="4">
        <f t="shared" ref="C798:M798" si="268">0.212937718373242 * 4.49865989918674%</f>
        <v>9.5793437467002335E-3</v>
      </c>
      <c r="D798" s="4">
        <f t="shared" si="268"/>
        <v>9.5793437467002335E-3</v>
      </c>
      <c r="E798" s="4">
        <f t="shared" si="268"/>
        <v>9.5793437467002335E-3</v>
      </c>
      <c r="F798" s="4">
        <f t="shared" si="268"/>
        <v>9.5793437467002335E-3</v>
      </c>
      <c r="G798" s="4">
        <f t="shared" si="268"/>
        <v>9.5793437467002335E-3</v>
      </c>
      <c r="H798" s="4">
        <f t="shared" si="268"/>
        <v>9.5793437467002335E-3</v>
      </c>
      <c r="I798" s="4">
        <f t="shared" si="268"/>
        <v>9.5793437467002335E-3</v>
      </c>
      <c r="J798" s="4">
        <f t="shared" si="268"/>
        <v>9.5793437467002335E-3</v>
      </c>
      <c r="K798" s="4">
        <f t="shared" si="268"/>
        <v>9.5793437467002335E-3</v>
      </c>
      <c r="L798" s="4">
        <f t="shared" si="268"/>
        <v>9.5793437467002335E-3</v>
      </c>
      <c r="M798" s="4">
        <f t="shared" si="268"/>
        <v>9.5793437467002335E-3</v>
      </c>
      <c r="N798" t="s">
        <v>242</v>
      </c>
      <c r="O798" t="s">
        <v>327</v>
      </c>
      <c r="P798" t="s">
        <v>324</v>
      </c>
      <c r="Q798" t="s">
        <v>245</v>
      </c>
    </row>
    <row r="799" spans="1:21" x14ac:dyDescent="0.25">
      <c r="A799" t="s">
        <v>324</v>
      </c>
      <c r="B799" t="s">
        <v>159</v>
      </c>
      <c r="C799" s="4">
        <f t="shared" ref="C799:M799" si="269">0.755584923910716 * 4.49865989918674%</f>
        <v>3.3991195976272023E-2</v>
      </c>
      <c r="D799" s="4">
        <f t="shared" si="269"/>
        <v>3.3991195976272023E-2</v>
      </c>
      <c r="E799" s="4">
        <f t="shared" si="269"/>
        <v>3.3991195976272023E-2</v>
      </c>
      <c r="F799" s="4">
        <f t="shared" si="269"/>
        <v>3.3991195976272023E-2</v>
      </c>
      <c r="G799" s="4">
        <f t="shared" si="269"/>
        <v>3.3991195976272023E-2</v>
      </c>
      <c r="H799" s="4">
        <f t="shared" si="269"/>
        <v>3.3991195976272023E-2</v>
      </c>
      <c r="I799" s="4">
        <f t="shared" si="269"/>
        <v>3.3991195976272023E-2</v>
      </c>
      <c r="J799" s="4">
        <f t="shared" si="269"/>
        <v>3.3991195976272023E-2</v>
      </c>
      <c r="K799" s="4">
        <f t="shared" si="269"/>
        <v>3.3991195976272023E-2</v>
      </c>
      <c r="L799" s="4">
        <f t="shared" si="269"/>
        <v>3.3991195976272023E-2</v>
      </c>
      <c r="M799" s="4">
        <f t="shared" si="269"/>
        <v>3.3991195976272023E-2</v>
      </c>
      <c r="N799" t="s">
        <v>242</v>
      </c>
      <c r="O799" t="s">
        <v>326</v>
      </c>
      <c r="P799" t="s">
        <v>324</v>
      </c>
      <c r="Q799" t="s">
        <v>245</v>
      </c>
    </row>
    <row r="800" spans="1:21" x14ac:dyDescent="0.25">
      <c r="A800" t="s">
        <v>324</v>
      </c>
      <c r="B800" t="s">
        <v>159</v>
      </c>
      <c r="C800" s="4">
        <f t="shared" ref="C800:M800" si="270">0.00154025450133466 * 4.49865989918674%</f>
        <v>6.9290811596961046E-5</v>
      </c>
      <c r="D800" s="4">
        <f t="shared" si="270"/>
        <v>6.9290811596961046E-5</v>
      </c>
      <c r="E800" s="4">
        <f t="shared" si="270"/>
        <v>6.9290811596961046E-5</v>
      </c>
      <c r="F800" s="4">
        <f t="shared" si="270"/>
        <v>6.9290811596961046E-5</v>
      </c>
      <c r="G800" s="4">
        <f t="shared" si="270"/>
        <v>6.9290811596961046E-5</v>
      </c>
      <c r="H800" s="4">
        <f t="shared" si="270"/>
        <v>6.9290811596961046E-5</v>
      </c>
      <c r="I800" s="4">
        <f t="shared" si="270"/>
        <v>6.9290811596961046E-5</v>
      </c>
      <c r="J800" s="4">
        <f t="shared" si="270"/>
        <v>6.9290811596961046E-5</v>
      </c>
      <c r="K800" s="4">
        <f t="shared" si="270"/>
        <v>6.9290811596961046E-5</v>
      </c>
      <c r="L800" s="4">
        <f t="shared" si="270"/>
        <v>6.9290811596961046E-5</v>
      </c>
      <c r="M800" s="4">
        <f t="shared" si="270"/>
        <v>6.9290811596961046E-5</v>
      </c>
      <c r="N800" t="s">
        <v>242</v>
      </c>
      <c r="O800" t="s">
        <v>289</v>
      </c>
      <c r="P800" t="s">
        <v>324</v>
      </c>
      <c r="Q800" t="s">
        <v>245</v>
      </c>
    </row>
    <row r="801" spans="1:17" x14ac:dyDescent="0.25">
      <c r="A801" t="s">
        <v>324</v>
      </c>
      <c r="B801" t="s">
        <v>159</v>
      </c>
      <c r="C801" s="4">
        <f t="shared" ref="C801:M801" si="271">4.63438553364394E-10 * 4.49865989918674%</f>
        <v>2.0848524357575133E-11</v>
      </c>
      <c r="D801" s="4">
        <f t="shared" si="271"/>
        <v>2.0848524357575133E-11</v>
      </c>
      <c r="E801" s="4">
        <f t="shared" si="271"/>
        <v>2.0848524357575133E-11</v>
      </c>
      <c r="F801" s="4">
        <f t="shared" si="271"/>
        <v>2.0848524357575133E-11</v>
      </c>
      <c r="G801" s="4">
        <f t="shared" si="271"/>
        <v>2.0848524357575133E-11</v>
      </c>
      <c r="H801" s="4">
        <f t="shared" si="271"/>
        <v>2.0848524357575133E-11</v>
      </c>
      <c r="I801" s="4">
        <f t="shared" si="271"/>
        <v>2.0848524357575133E-11</v>
      </c>
      <c r="J801" s="4">
        <f t="shared" si="271"/>
        <v>2.0848524357575133E-11</v>
      </c>
      <c r="K801" s="4">
        <f t="shared" si="271"/>
        <v>2.0848524357575133E-11</v>
      </c>
      <c r="L801" s="4">
        <f t="shared" si="271"/>
        <v>2.0848524357575133E-11</v>
      </c>
      <c r="M801" s="4">
        <f t="shared" si="271"/>
        <v>2.0848524357575133E-11</v>
      </c>
      <c r="N801" t="s">
        <v>256</v>
      </c>
      <c r="O801" t="s">
        <v>322</v>
      </c>
      <c r="P801" t="s">
        <v>324</v>
      </c>
      <c r="Q801" t="s">
        <v>245</v>
      </c>
    </row>
    <row r="802" spans="1:17" x14ac:dyDescent="0.25">
      <c r="A802" t="s">
        <v>324</v>
      </c>
      <c r="B802" t="s">
        <v>159</v>
      </c>
      <c r="C802" s="4">
        <f t="shared" ref="C802:M802" si="272">1.80533525994585E-09 * 4.49865989918674%</f>
        <v>8.1215893385062649E-11</v>
      </c>
      <c r="D802" s="4">
        <f t="shared" si="272"/>
        <v>8.1215893385062649E-11</v>
      </c>
      <c r="E802" s="4">
        <f t="shared" si="272"/>
        <v>8.1215893385062649E-11</v>
      </c>
      <c r="F802" s="4">
        <f t="shared" si="272"/>
        <v>8.1215893385062649E-11</v>
      </c>
      <c r="G802" s="4">
        <f t="shared" si="272"/>
        <v>8.1215893385062649E-11</v>
      </c>
      <c r="H802" s="4">
        <f t="shared" si="272"/>
        <v>8.1215893385062649E-11</v>
      </c>
      <c r="I802" s="4">
        <f t="shared" si="272"/>
        <v>8.1215893385062649E-11</v>
      </c>
      <c r="J802" s="4">
        <f t="shared" si="272"/>
        <v>8.1215893385062649E-11</v>
      </c>
      <c r="K802" s="4">
        <f t="shared" si="272"/>
        <v>8.1215893385062649E-11</v>
      </c>
      <c r="L802" s="4">
        <f t="shared" si="272"/>
        <v>8.1215893385062649E-11</v>
      </c>
      <c r="M802" s="4">
        <f t="shared" si="272"/>
        <v>8.1215893385062649E-11</v>
      </c>
      <c r="N802" t="s">
        <v>256</v>
      </c>
      <c r="O802" t="s">
        <v>323</v>
      </c>
      <c r="P802" t="s">
        <v>324</v>
      </c>
      <c r="Q802" t="s">
        <v>245</v>
      </c>
    </row>
    <row r="803" spans="1:17" x14ac:dyDescent="0.25">
      <c r="A803" t="s">
        <v>324</v>
      </c>
      <c r="B803" t="s">
        <v>159</v>
      </c>
      <c r="C803" s="4">
        <f t="shared" ref="C803:M803" si="273">0.000343246436607167 * 4.49865989918674%</f>
        <v>1.5441489799034058E-5</v>
      </c>
      <c r="D803" s="4">
        <f t="shared" si="273"/>
        <v>1.5441489799034058E-5</v>
      </c>
      <c r="E803" s="4">
        <f t="shared" si="273"/>
        <v>1.5441489799034058E-5</v>
      </c>
      <c r="F803" s="4">
        <f t="shared" si="273"/>
        <v>1.5441489799034058E-5</v>
      </c>
      <c r="G803" s="4">
        <f t="shared" si="273"/>
        <v>1.5441489799034058E-5</v>
      </c>
      <c r="H803" s="4">
        <f t="shared" si="273"/>
        <v>1.5441489799034058E-5</v>
      </c>
      <c r="I803" s="4">
        <f t="shared" si="273"/>
        <v>1.5441489799034058E-5</v>
      </c>
      <c r="J803" s="4">
        <f t="shared" si="273"/>
        <v>1.5441489799034058E-5</v>
      </c>
      <c r="K803" s="4">
        <f t="shared" si="273"/>
        <v>1.5441489799034058E-5</v>
      </c>
      <c r="L803" s="4">
        <f t="shared" si="273"/>
        <v>1.5441489799034058E-5</v>
      </c>
      <c r="M803" s="4">
        <f t="shared" si="273"/>
        <v>1.5441489799034058E-5</v>
      </c>
      <c r="N803" t="s">
        <v>256</v>
      </c>
      <c r="O803" t="s">
        <v>280</v>
      </c>
      <c r="P803" t="s">
        <v>324</v>
      </c>
      <c r="Q803" t="s">
        <v>245</v>
      </c>
    </row>
    <row r="804" spans="1:17" x14ac:dyDescent="0.25">
      <c r="A804" t="s">
        <v>324</v>
      </c>
      <c r="B804" t="s">
        <v>166</v>
      </c>
      <c r="C804" s="4">
        <f t="shared" ref="C804:M804" si="274">0.212937718373242 * 0.00238175260592974%</f>
        <v>5.0716496563620223E-6</v>
      </c>
      <c r="D804" s="4">
        <f t="shared" si="274"/>
        <v>5.0716496563620223E-6</v>
      </c>
      <c r="E804" s="4">
        <f t="shared" si="274"/>
        <v>5.0716496563620223E-6</v>
      </c>
      <c r="F804" s="4">
        <f t="shared" si="274"/>
        <v>5.0716496563620223E-6</v>
      </c>
      <c r="G804" s="4">
        <f t="shared" si="274"/>
        <v>5.0716496563620223E-6</v>
      </c>
      <c r="H804" s="4">
        <f t="shared" si="274"/>
        <v>5.0716496563620223E-6</v>
      </c>
      <c r="I804" s="4">
        <f t="shared" si="274"/>
        <v>5.0716496563620223E-6</v>
      </c>
      <c r="J804" s="4">
        <f t="shared" si="274"/>
        <v>5.0716496563620223E-6</v>
      </c>
      <c r="K804" s="4">
        <f t="shared" si="274"/>
        <v>5.0716496563620223E-6</v>
      </c>
      <c r="L804" s="4">
        <f t="shared" si="274"/>
        <v>5.0716496563620223E-6</v>
      </c>
      <c r="M804" s="4">
        <f t="shared" si="274"/>
        <v>5.0716496563620223E-6</v>
      </c>
      <c r="N804" t="s">
        <v>242</v>
      </c>
      <c r="O804" t="s">
        <v>327</v>
      </c>
      <c r="P804" t="s">
        <v>324</v>
      </c>
      <c r="Q804" t="s">
        <v>245</v>
      </c>
    </row>
    <row r="805" spans="1:17" x14ac:dyDescent="0.25">
      <c r="A805" t="s">
        <v>324</v>
      </c>
      <c r="B805" t="s">
        <v>166</v>
      </c>
      <c r="C805" s="4">
        <f t="shared" ref="C805:M805" si="275">0.755584923910716 * 0.00238175260592974%</f>
        <v>1.7996163615255721E-5</v>
      </c>
      <c r="D805" s="4">
        <f t="shared" si="275"/>
        <v>1.7996163615255721E-5</v>
      </c>
      <c r="E805" s="4">
        <f t="shared" si="275"/>
        <v>1.7996163615255721E-5</v>
      </c>
      <c r="F805" s="4">
        <f t="shared" si="275"/>
        <v>1.7996163615255721E-5</v>
      </c>
      <c r="G805" s="4">
        <f t="shared" si="275"/>
        <v>1.7996163615255721E-5</v>
      </c>
      <c r="H805" s="4">
        <f t="shared" si="275"/>
        <v>1.7996163615255721E-5</v>
      </c>
      <c r="I805" s="4">
        <f t="shared" si="275"/>
        <v>1.7996163615255721E-5</v>
      </c>
      <c r="J805" s="4">
        <f t="shared" si="275"/>
        <v>1.7996163615255721E-5</v>
      </c>
      <c r="K805" s="4">
        <f t="shared" si="275"/>
        <v>1.7996163615255721E-5</v>
      </c>
      <c r="L805" s="4">
        <f t="shared" si="275"/>
        <v>1.7996163615255721E-5</v>
      </c>
      <c r="M805" s="4">
        <f t="shared" si="275"/>
        <v>1.7996163615255721E-5</v>
      </c>
      <c r="N805" t="s">
        <v>242</v>
      </c>
      <c r="O805" t="s">
        <v>326</v>
      </c>
      <c r="P805" t="s">
        <v>324</v>
      </c>
      <c r="Q805" t="s">
        <v>245</v>
      </c>
    </row>
    <row r="806" spans="1:17" x14ac:dyDescent="0.25">
      <c r="A806" t="s">
        <v>324</v>
      </c>
      <c r="B806" t="s">
        <v>166</v>
      </c>
      <c r="C806" s="4">
        <f t="shared" ref="C806:M806" si="276">0.00154025450133466 * 0.00238175260592974%</f>
        <v>3.6685051723488388E-8</v>
      </c>
      <c r="D806" s="4">
        <f t="shared" si="276"/>
        <v>3.6685051723488388E-8</v>
      </c>
      <c r="E806" s="4">
        <f t="shared" si="276"/>
        <v>3.6685051723488388E-8</v>
      </c>
      <c r="F806" s="4">
        <f t="shared" si="276"/>
        <v>3.6685051723488388E-8</v>
      </c>
      <c r="G806" s="4">
        <f t="shared" si="276"/>
        <v>3.6685051723488388E-8</v>
      </c>
      <c r="H806" s="4">
        <f t="shared" si="276"/>
        <v>3.6685051723488388E-8</v>
      </c>
      <c r="I806" s="4">
        <f t="shared" si="276"/>
        <v>3.6685051723488388E-8</v>
      </c>
      <c r="J806" s="4">
        <f t="shared" si="276"/>
        <v>3.6685051723488388E-8</v>
      </c>
      <c r="K806" s="4">
        <f t="shared" si="276"/>
        <v>3.6685051723488388E-8</v>
      </c>
      <c r="L806" s="4">
        <f t="shared" si="276"/>
        <v>3.6685051723488388E-8</v>
      </c>
      <c r="M806" s="4">
        <f t="shared" si="276"/>
        <v>3.6685051723488388E-8</v>
      </c>
      <c r="N806" t="s">
        <v>242</v>
      </c>
      <c r="O806" t="s">
        <v>289</v>
      </c>
      <c r="P806" t="s">
        <v>324</v>
      </c>
      <c r="Q806" t="s">
        <v>245</v>
      </c>
    </row>
    <row r="807" spans="1:17" x14ac:dyDescent="0.25">
      <c r="A807" t="s">
        <v>324</v>
      </c>
      <c r="B807" t="s">
        <v>166</v>
      </c>
      <c r="C807" s="4">
        <f t="shared" ref="C807:M807" si="277">4.63438553364394E-10 * 0.00238175260592974%</f>
        <v>1.1037959821639543E-14</v>
      </c>
      <c r="D807" s="4">
        <f t="shared" si="277"/>
        <v>1.1037959821639543E-14</v>
      </c>
      <c r="E807" s="4">
        <f t="shared" si="277"/>
        <v>1.1037959821639543E-14</v>
      </c>
      <c r="F807" s="4">
        <f t="shared" si="277"/>
        <v>1.1037959821639543E-14</v>
      </c>
      <c r="G807" s="4">
        <f t="shared" si="277"/>
        <v>1.1037959821639543E-14</v>
      </c>
      <c r="H807" s="4">
        <f t="shared" si="277"/>
        <v>1.1037959821639543E-14</v>
      </c>
      <c r="I807" s="4">
        <f t="shared" si="277"/>
        <v>1.1037959821639543E-14</v>
      </c>
      <c r="J807" s="4">
        <f t="shared" si="277"/>
        <v>1.1037959821639543E-14</v>
      </c>
      <c r="K807" s="4">
        <f t="shared" si="277"/>
        <v>1.1037959821639543E-14</v>
      </c>
      <c r="L807" s="4">
        <f t="shared" si="277"/>
        <v>1.1037959821639543E-14</v>
      </c>
      <c r="M807" s="4">
        <f t="shared" si="277"/>
        <v>1.1037959821639543E-14</v>
      </c>
      <c r="N807" t="s">
        <v>256</v>
      </c>
      <c r="O807" t="s">
        <v>322</v>
      </c>
      <c r="P807" t="s">
        <v>324</v>
      </c>
      <c r="Q807" t="s">
        <v>245</v>
      </c>
    </row>
    <row r="808" spans="1:17" x14ac:dyDescent="0.25">
      <c r="A808" t="s">
        <v>324</v>
      </c>
      <c r="B808" t="s">
        <v>166</v>
      </c>
      <c r="C808" s="4">
        <f t="shared" ref="C808:M808" si="278">1.80533525994585E-09 * 0.00238175260592974%</f>
        <v>4.2998619599528724E-14</v>
      </c>
      <c r="D808" s="4">
        <f t="shared" si="278"/>
        <v>4.2998619599528724E-14</v>
      </c>
      <c r="E808" s="4">
        <f t="shared" si="278"/>
        <v>4.2998619599528724E-14</v>
      </c>
      <c r="F808" s="4">
        <f t="shared" si="278"/>
        <v>4.2998619599528724E-14</v>
      </c>
      <c r="G808" s="4">
        <f t="shared" si="278"/>
        <v>4.2998619599528724E-14</v>
      </c>
      <c r="H808" s="4">
        <f t="shared" si="278"/>
        <v>4.2998619599528724E-14</v>
      </c>
      <c r="I808" s="4">
        <f t="shared" si="278"/>
        <v>4.2998619599528724E-14</v>
      </c>
      <c r="J808" s="4">
        <f t="shared" si="278"/>
        <v>4.2998619599528724E-14</v>
      </c>
      <c r="K808" s="4">
        <f t="shared" si="278"/>
        <v>4.2998619599528724E-14</v>
      </c>
      <c r="L808" s="4">
        <f t="shared" si="278"/>
        <v>4.2998619599528724E-14</v>
      </c>
      <c r="M808" s="4">
        <f t="shared" si="278"/>
        <v>4.2998619599528724E-14</v>
      </c>
      <c r="N808" t="s">
        <v>256</v>
      </c>
      <c r="O808" t="s">
        <v>323</v>
      </c>
      <c r="P808" t="s">
        <v>324</v>
      </c>
      <c r="Q808" t="s">
        <v>245</v>
      </c>
    </row>
    <row r="809" spans="1:17" x14ac:dyDescent="0.25">
      <c r="A809" t="s">
        <v>324</v>
      </c>
      <c r="B809" t="s">
        <v>166</v>
      </c>
      <c r="C809" s="4">
        <f t="shared" ref="C809:M809" si="279">0.000343246436607167 * 0.00238175260592974%</f>
        <v>8.1752809486521735E-9</v>
      </c>
      <c r="D809" s="4">
        <f t="shared" si="279"/>
        <v>8.1752809486521735E-9</v>
      </c>
      <c r="E809" s="4">
        <f t="shared" si="279"/>
        <v>8.1752809486521735E-9</v>
      </c>
      <c r="F809" s="4">
        <f t="shared" si="279"/>
        <v>8.1752809486521735E-9</v>
      </c>
      <c r="G809" s="4">
        <f t="shared" si="279"/>
        <v>8.1752809486521735E-9</v>
      </c>
      <c r="H809" s="4">
        <f t="shared" si="279"/>
        <v>8.1752809486521735E-9</v>
      </c>
      <c r="I809" s="4">
        <f t="shared" si="279"/>
        <v>8.1752809486521735E-9</v>
      </c>
      <c r="J809" s="4">
        <f t="shared" si="279"/>
        <v>8.1752809486521735E-9</v>
      </c>
      <c r="K809" s="4">
        <f t="shared" si="279"/>
        <v>8.1752809486521735E-9</v>
      </c>
      <c r="L809" s="4">
        <f t="shared" si="279"/>
        <v>8.1752809486521735E-9</v>
      </c>
      <c r="M809" s="4">
        <f t="shared" si="279"/>
        <v>8.1752809486521735E-9</v>
      </c>
      <c r="N809" t="s">
        <v>256</v>
      </c>
      <c r="O809" t="s">
        <v>280</v>
      </c>
      <c r="P809" t="s">
        <v>324</v>
      </c>
      <c r="Q809" t="s">
        <v>245</v>
      </c>
    </row>
    <row r="810" spans="1:17" x14ac:dyDescent="0.25">
      <c r="A810" t="s">
        <v>324</v>
      </c>
      <c r="B810" t="s">
        <v>128</v>
      </c>
      <c r="C810" s="4">
        <f t="shared" ref="C810:M810" si="280">0.212937718373242 * 0.0164032548617751%</f>
        <v>3.4928716641611791E-5</v>
      </c>
      <c r="D810" s="4">
        <f t="shared" si="280"/>
        <v>3.4928716641611791E-5</v>
      </c>
      <c r="E810" s="4">
        <f t="shared" si="280"/>
        <v>3.4928716641611791E-5</v>
      </c>
      <c r="F810" s="4">
        <f t="shared" si="280"/>
        <v>3.4928716641611791E-5</v>
      </c>
      <c r="G810" s="4">
        <f t="shared" si="280"/>
        <v>3.4928716641611791E-5</v>
      </c>
      <c r="H810" s="4">
        <f t="shared" si="280"/>
        <v>3.4928716641611791E-5</v>
      </c>
      <c r="I810" s="4">
        <f t="shared" si="280"/>
        <v>3.4928716641611791E-5</v>
      </c>
      <c r="J810" s="4">
        <f t="shared" si="280"/>
        <v>3.4928716641611791E-5</v>
      </c>
      <c r="K810" s="4">
        <f t="shared" si="280"/>
        <v>3.4928716641611791E-5</v>
      </c>
      <c r="L810" s="4">
        <f t="shared" si="280"/>
        <v>3.4928716641611791E-5</v>
      </c>
      <c r="M810" s="4">
        <f t="shared" si="280"/>
        <v>3.4928716641611791E-5</v>
      </c>
      <c r="N810" t="s">
        <v>242</v>
      </c>
      <c r="O810" t="s">
        <v>327</v>
      </c>
      <c r="P810" t="s">
        <v>324</v>
      </c>
      <c r="Q810" t="s">
        <v>245</v>
      </c>
    </row>
    <row r="811" spans="1:17" x14ac:dyDescent="0.25">
      <c r="A811" t="s">
        <v>324</v>
      </c>
      <c r="B811" t="s">
        <v>128</v>
      </c>
      <c r="C811" s="4">
        <f t="shared" ref="C811:M811" si="281">0.755584923910716 * 0.0164032548617751%</f>
        <v>1.2394052076622423E-4</v>
      </c>
      <c r="D811" s="4">
        <f t="shared" si="281"/>
        <v>1.2394052076622423E-4</v>
      </c>
      <c r="E811" s="4">
        <f t="shared" si="281"/>
        <v>1.2394052076622423E-4</v>
      </c>
      <c r="F811" s="4">
        <f t="shared" si="281"/>
        <v>1.2394052076622423E-4</v>
      </c>
      <c r="G811" s="4">
        <f t="shared" si="281"/>
        <v>1.2394052076622423E-4</v>
      </c>
      <c r="H811" s="4">
        <f t="shared" si="281"/>
        <v>1.2394052076622423E-4</v>
      </c>
      <c r="I811" s="4">
        <f t="shared" si="281"/>
        <v>1.2394052076622423E-4</v>
      </c>
      <c r="J811" s="4">
        <f t="shared" si="281"/>
        <v>1.2394052076622423E-4</v>
      </c>
      <c r="K811" s="4">
        <f t="shared" si="281"/>
        <v>1.2394052076622423E-4</v>
      </c>
      <c r="L811" s="4">
        <f t="shared" si="281"/>
        <v>1.2394052076622423E-4</v>
      </c>
      <c r="M811" s="4">
        <f t="shared" si="281"/>
        <v>1.2394052076622423E-4</v>
      </c>
      <c r="N811" t="s">
        <v>242</v>
      </c>
      <c r="O811" t="s">
        <v>326</v>
      </c>
      <c r="P811" t="s">
        <v>324</v>
      </c>
      <c r="Q811" t="s">
        <v>245</v>
      </c>
    </row>
    <row r="812" spans="1:17" x14ac:dyDescent="0.25">
      <c r="A812" t="s">
        <v>324</v>
      </c>
      <c r="B812" t="s">
        <v>128</v>
      </c>
      <c r="C812" s="4">
        <f t="shared" ref="C812:M812" si="282">0.00154025450133466 * 0.0164032548617751%</f>
        <v>2.5265187137388748E-7</v>
      </c>
      <c r="D812" s="4">
        <f t="shared" si="282"/>
        <v>2.5265187137388748E-7</v>
      </c>
      <c r="E812" s="4">
        <f t="shared" si="282"/>
        <v>2.5265187137388748E-7</v>
      </c>
      <c r="F812" s="4">
        <f t="shared" si="282"/>
        <v>2.5265187137388748E-7</v>
      </c>
      <c r="G812" s="4">
        <f t="shared" si="282"/>
        <v>2.5265187137388748E-7</v>
      </c>
      <c r="H812" s="4">
        <f t="shared" si="282"/>
        <v>2.5265187137388748E-7</v>
      </c>
      <c r="I812" s="4">
        <f t="shared" si="282"/>
        <v>2.5265187137388748E-7</v>
      </c>
      <c r="J812" s="4">
        <f t="shared" si="282"/>
        <v>2.5265187137388748E-7</v>
      </c>
      <c r="K812" s="4">
        <f t="shared" si="282"/>
        <v>2.5265187137388748E-7</v>
      </c>
      <c r="L812" s="4">
        <f t="shared" si="282"/>
        <v>2.5265187137388748E-7</v>
      </c>
      <c r="M812" s="4">
        <f t="shared" si="282"/>
        <v>2.5265187137388748E-7</v>
      </c>
      <c r="N812" t="s">
        <v>242</v>
      </c>
      <c r="O812" t="s">
        <v>289</v>
      </c>
      <c r="P812" t="s">
        <v>324</v>
      </c>
      <c r="Q812" t="s">
        <v>245</v>
      </c>
    </row>
    <row r="813" spans="1:17" x14ac:dyDescent="0.25">
      <c r="A813" t="s">
        <v>324</v>
      </c>
      <c r="B813" t="s">
        <v>128</v>
      </c>
      <c r="C813" s="4">
        <f t="shared" ref="C813:M813" si="283">4.63438553364394E-10 * 0.0164032548617751%</f>
        <v>7.6019007036085157E-14</v>
      </c>
      <c r="D813" s="4">
        <f t="shared" si="283"/>
        <v>7.6019007036085157E-14</v>
      </c>
      <c r="E813" s="4">
        <f t="shared" si="283"/>
        <v>7.6019007036085157E-14</v>
      </c>
      <c r="F813" s="4">
        <f t="shared" si="283"/>
        <v>7.6019007036085157E-14</v>
      </c>
      <c r="G813" s="4">
        <f t="shared" si="283"/>
        <v>7.6019007036085157E-14</v>
      </c>
      <c r="H813" s="4">
        <f t="shared" si="283"/>
        <v>7.6019007036085157E-14</v>
      </c>
      <c r="I813" s="4">
        <f t="shared" si="283"/>
        <v>7.6019007036085157E-14</v>
      </c>
      <c r="J813" s="4">
        <f t="shared" si="283"/>
        <v>7.6019007036085157E-14</v>
      </c>
      <c r="K813" s="4">
        <f t="shared" si="283"/>
        <v>7.6019007036085157E-14</v>
      </c>
      <c r="L813" s="4">
        <f t="shared" si="283"/>
        <v>7.6019007036085157E-14</v>
      </c>
      <c r="M813" s="4">
        <f t="shared" si="283"/>
        <v>7.6019007036085157E-14</v>
      </c>
      <c r="N813" t="s">
        <v>256</v>
      </c>
      <c r="O813" t="s">
        <v>322</v>
      </c>
      <c r="P813" t="s">
        <v>324</v>
      </c>
      <c r="Q813" t="s">
        <v>245</v>
      </c>
    </row>
    <row r="814" spans="1:17" x14ac:dyDescent="0.25">
      <c r="A814" t="s">
        <v>324</v>
      </c>
      <c r="B814" t="s">
        <v>128</v>
      </c>
      <c r="C814" s="4">
        <f t="shared" ref="C814:M814" si="284">1.80533525994585E-09 * 0.0164032548617751%</f>
        <v>2.961337437984078E-13</v>
      </c>
      <c r="D814" s="4">
        <f t="shared" si="284"/>
        <v>2.961337437984078E-13</v>
      </c>
      <c r="E814" s="4">
        <f t="shared" si="284"/>
        <v>2.961337437984078E-13</v>
      </c>
      <c r="F814" s="4">
        <f t="shared" si="284"/>
        <v>2.961337437984078E-13</v>
      </c>
      <c r="G814" s="4">
        <f t="shared" si="284"/>
        <v>2.961337437984078E-13</v>
      </c>
      <c r="H814" s="4">
        <f t="shared" si="284"/>
        <v>2.961337437984078E-13</v>
      </c>
      <c r="I814" s="4">
        <f t="shared" si="284"/>
        <v>2.961337437984078E-13</v>
      </c>
      <c r="J814" s="4">
        <f t="shared" si="284"/>
        <v>2.961337437984078E-13</v>
      </c>
      <c r="K814" s="4">
        <f t="shared" si="284"/>
        <v>2.961337437984078E-13</v>
      </c>
      <c r="L814" s="4">
        <f t="shared" si="284"/>
        <v>2.961337437984078E-13</v>
      </c>
      <c r="M814" s="4">
        <f t="shared" si="284"/>
        <v>2.961337437984078E-13</v>
      </c>
      <c r="N814" t="s">
        <v>256</v>
      </c>
      <c r="O814" t="s">
        <v>323</v>
      </c>
      <c r="P814" t="s">
        <v>324</v>
      </c>
      <c r="Q814" t="s">
        <v>245</v>
      </c>
    </row>
    <row r="815" spans="1:17" x14ac:dyDescent="0.25">
      <c r="A815" t="s">
        <v>324</v>
      </c>
      <c r="B815" t="s">
        <v>128</v>
      </c>
      <c r="C815" s="4">
        <f t="shared" ref="C815:M815" si="285">0.000343246436607167 * 0.0164032548617751%</f>
        <v>5.6303587800634914E-8</v>
      </c>
      <c r="D815" s="4">
        <f t="shared" si="285"/>
        <v>5.6303587800634914E-8</v>
      </c>
      <c r="E815" s="4">
        <f t="shared" si="285"/>
        <v>5.6303587800634914E-8</v>
      </c>
      <c r="F815" s="4">
        <f t="shared" si="285"/>
        <v>5.6303587800634914E-8</v>
      </c>
      <c r="G815" s="4">
        <f t="shared" si="285"/>
        <v>5.6303587800634914E-8</v>
      </c>
      <c r="H815" s="4">
        <f t="shared" si="285"/>
        <v>5.6303587800634914E-8</v>
      </c>
      <c r="I815" s="4">
        <f t="shared" si="285"/>
        <v>5.6303587800634914E-8</v>
      </c>
      <c r="J815" s="4">
        <f t="shared" si="285"/>
        <v>5.6303587800634914E-8</v>
      </c>
      <c r="K815" s="4">
        <f t="shared" si="285"/>
        <v>5.6303587800634914E-8</v>
      </c>
      <c r="L815" s="4">
        <f t="shared" si="285"/>
        <v>5.6303587800634914E-8</v>
      </c>
      <c r="M815" s="4">
        <f t="shared" si="285"/>
        <v>5.6303587800634914E-8</v>
      </c>
      <c r="N815" t="s">
        <v>256</v>
      </c>
      <c r="O815" t="s">
        <v>280</v>
      </c>
      <c r="P815" t="s">
        <v>324</v>
      </c>
      <c r="Q815" t="s">
        <v>245</v>
      </c>
    </row>
    <row r="816" spans="1:17" x14ac:dyDescent="0.25">
      <c r="A816" t="s">
        <v>324</v>
      </c>
      <c r="B816" t="s">
        <v>154</v>
      </c>
      <c r="C816" s="4">
        <f t="shared" ref="C816:M816" si="286">0.212937718373242 * 0.040585753341747%</f>
        <v>8.642237715050788E-5</v>
      </c>
      <c r="D816" s="4">
        <f t="shared" si="286"/>
        <v>8.642237715050788E-5</v>
      </c>
      <c r="E816" s="4">
        <f t="shared" si="286"/>
        <v>8.642237715050788E-5</v>
      </c>
      <c r="F816" s="4">
        <f t="shared" si="286"/>
        <v>8.642237715050788E-5</v>
      </c>
      <c r="G816" s="4">
        <f t="shared" si="286"/>
        <v>8.642237715050788E-5</v>
      </c>
      <c r="H816" s="4">
        <f t="shared" si="286"/>
        <v>8.642237715050788E-5</v>
      </c>
      <c r="I816" s="4">
        <f t="shared" si="286"/>
        <v>8.642237715050788E-5</v>
      </c>
      <c r="J816" s="4">
        <f t="shared" si="286"/>
        <v>8.642237715050788E-5</v>
      </c>
      <c r="K816" s="4">
        <f t="shared" si="286"/>
        <v>8.642237715050788E-5</v>
      </c>
      <c r="L816" s="4">
        <f t="shared" si="286"/>
        <v>8.642237715050788E-5</v>
      </c>
      <c r="M816" s="4">
        <f t="shared" si="286"/>
        <v>8.642237715050788E-5</v>
      </c>
      <c r="N816" t="s">
        <v>242</v>
      </c>
      <c r="O816" t="s">
        <v>327</v>
      </c>
      <c r="P816" t="s">
        <v>324</v>
      </c>
      <c r="Q816" t="s">
        <v>245</v>
      </c>
    </row>
    <row r="817" spans="1:17" x14ac:dyDescent="0.25">
      <c r="A817" t="s">
        <v>324</v>
      </c>
      <c r="B817" t="s">
        <v>154</v>
      </c>
      <c r="C817" s="4">
        <f t="shared" ref="C817:M817" si="287">0.755584923910716 * 0.040585753341747%</f>
        <v>3.0665983350582993E-4</v>
      </c>
      <c r="D817" s="4">
        <f t="shared" si="287"/>
        <v>3.0665983350582993E-4</v>
      </c>
      <c r="E817" s="4">
        <f t="shared" si="287"/>
        <v>3.0665983350582993E-4</v>
      </c>
      <c r="F817" s="4">
        <f t="shared" si="287"/>
        <v>3.0665983350582993E-4</v>
      </c>
      <c r="G817" s="4">
        <f t="shared" si="287"/>
        <v>3.0665983350582993E-4</v>
      </c>
      <c r="H817" s="4">
        <f t="shared" si="287"/>
        <v>3.0665983350582993E-4</v>
      </c>
      <c r="I817" s="4">
        <f t="shared" si="287"/>
        <v>3.0665983350582993E-4</v>
      </c>
      <c r="J817" s="4">
        <f t="shared" si="287"/>
        <v>3.0665983350582993E-4</v>
      </c>
      <c r="K817" s="4">
        <f t="shared" si="287"/>
        <v>3.0665983350582993E-4</v>
      </c>
      <c r="L817" s="4">
        <f t="shared" si="287"/>
        <v>3.0665983350582993E-4</v>
      </c>
      <c r="M817" s="4">
        <f t="shared" si="287"/>
        <v>3.0665983350582993E-4</v>
      </c>
      <c r="N817" t="s">
        <v>242</v>
      </c>
      <c r="O817" t="s">
        <v>326</v>
      </c>
      <c r="P817" t="s">
        <v>324</v>
      </c>
      <c r="Q817" t="s">
        <v>245</v>
      </c>
    </row>
    <row r="818" spans="1:17" x14ac:dyDescent="0.25">
      <c r="A818" t="s">
        <v>324</v>
      </c>
      <c r="B818" t="s">
        <v>154</v>
      </c>
      <c r="C818" s="4">
        <f t="shared" ref="C818:M818" si="288">0.00154025450133466 * 0.040585753341747%</f>
        <v>6.251238927468404E-7</v>
      </c>
      <c r="D818" s="4">
        <f t="shared" si="288"/>
        <v>6.251238927468404E-7</v>
      </c>
      <c r="E818" s="4">
        <f t="shared" si="288"/>
        <v>6.251238927468404E-7</v>
      </c>
      <c r="F818" s="4">
        <f t="shared" si="288"/>
        <v>6.251238927468404E-7</v>
      </c>
      <c r="G818" s="4">
        <f t="shared" si="288"/>
        <v>6.251238927468404E-7</v>
      </c>
      <c r="H818" s="4">
        <f t="shared" si="288"/>
        <v>6.251238927468404E-7</v>
      </c>
      <c r="I818" s="4">
        <f t="shared" si="288"/>
        <v>6.251238927468404E-7</v>
      </c>
      <c r="J818" s="4">
        <f t="shared" si="288"/>
        <v>6.251238927468404E-7</v>
      </c>
      <c r="K818" s="4">
        <f t="shared" si="288"/>
        <v>6.251238927468404E-7</v>
      </c>
      <c r="L818" s="4">
        <f t="shared" si="288"/>
        <v>6.251238927468404E-7</v>
      </c>
      <c r="M818" s="4">
        <f t="shared" si="288"/>
        <v>6.251238927468404E-7</v>
      </c>
      <c r="N818" t="s">
        <v>242</v>
      </c>
      <c r="O818" t="s">
        <v>289</v>
      </c>
      <c r="P818" t="s">
        <v>324</v>
      </c>
      <c r="Q818" t="s">
        <v>245</v>
      </c>
    </row>
    <row r="819" spans="1:17" x14ac:dyDescent="0.25">
      <c r="A819" t="s">
        <v>324</v>
      </c>
      <c r="B819" t="s">
        <v>154</v>
      </c>
      <c r="C819" s="4">
        <f t="shared" ref="C819:M819" si="289">4.63438553364394E-10 * 0.040585753341747%</f>
        <v>1.8809002815903348E-13</v>
      </c>
      <c r="D819" s="4">
        <f t="shared" si="289"/>
        <v>1.8809002815903348E-13</v>
      </c>
      <c r="E819" s="4">
        <f t="shared" si="289"/>
        <v>1.8809002815903348E-13</v>
      </c>
      <c r="F819" s="4">
        <f t="shared" si="289"/>
        <v>1.8809002815903348E-13</v>
      </c>
      <c r="G819" s="4">
        <f t="shared" si="289"/>
        <v>1.8809002815903348E-13</v>
      </c>
      <c r="H819" s="4">
        <f t="shared" si="289"/>
        <v>1.8809002815903348E-13</v>
      </c>
      <c r="I819" s="4">
        <f t="shared" si="289"/>
        <v>1.8809002815903348E-13</v>
      </c>
      <c r="J819" s="4">
        <f t="shared" si="289"/>
        <v>1.8809002815903348E-13</v>
      </c>
      <c r="K819" s="4">
        <f t="shared" si="289"/>
        <v>1.8809002815903348E-13</v>
      </c>
      <c r="L819" s="4">
        <f t="shared" si="289"/>
        <v>1.8809002815903348E-13</v>
      </c>
      <c r="M819" s="4">
        <f t="shared" si="289"/>
        <v>1.8809002815903348E-13</v>
      </c>
      <c r="N819" t="s">
        <v>256</v>
      </c>
      <c r="O819" t="s">
        <v>322</v>
      </c>
      <c r="P819" t="s">
        <v>324</v>
      </c>
      <c r="Q819" t="s">
        <v>245</v>
      </c>
    </row>
    <row r="820" spans="1:17" x14ac:dyDescent="0.25">
      <c r="A820" t="s">
        <v>324</v>
      </c>
      <c r="B820" t="s">
        <v>154</v>
      </c>
      <c r="C820" s="4">
        <f t="shared" ref="C820:M820" si="290">1.80533525994585E-09 * 0.040585753341747%</f>
        <v>7.3270891559320968E-13</v>
      </c>
      <c r="D820" s="4">
        <f t="shared" si="290"/>
        <v>7.3270891559320968E-13</v>
      </c>
      <c r="E820" s="4">
        <f t="shared" si="290"/>
        <v>7.3270891559320968E-13</v>
      </c>
      <c r="F820" s="4">
        <f t="shared" si="290"/>
        <v>7.3270891559320968E-13</v>
      </c>
      <c r="G820" s="4">
        <f t="shared" si="290"/>
        <v>7.3270891559320968E-13</v>
      </c>
      <c r="H820" s="4">
        <f t="shared" si="290"/>
        <v>7.3270891559320968E-13</v>
      </c>
      <c r="I820" s="4">
        <f t="shared" si="290"/>
        <v>7.3270891559320968E-13</v>
      </c>
      <c r="J820" s="4">
        <f t="shared" si="290"/>
        <v>7.3270891559320968E-13</v>
      </c>
      <c r="K820" s="4">
        <f t="shared" si="290"/>
        <v>7.3270891559320968E-13</v>
      </c>
      <c r="L820" s="4">
        <f t="shared" si="290"/>
        <v>7.3270891559320968E-13</v>
      </c>
      <c r="M820" s="4">
        <f t="shared" si="290"/>
        <v>7.3270891559320968E-13</v>
      </c>
      <c r="N820" t="s">
        <v>256</v>
      </c>
      <c r="O820" t="s">
        <v>323</v>
      </c>
      <c r="P820" t="s">
        <v>324</v>
      </c>
      <c r="Q820" t="s">
        <v>245</v>
      </c>
    </row>
    <row r="821" spans="1:17" x14ac:dyDescent="0.25">
      <c r="A821" t="s">
        <v>324</v>
      </c>
      <c r="B821" t="s">
        <v>154</v>
      </c>
      <c r="C821" s="4">
        <f t="shared" ref="C821:M821" si="291">0.000343246436607167 * 0.040585753341747%</f>
        <v>1.3930915211572078E-7</v>
      </c>
      <c r="D821" s="4">
        <f t="shared" si="291"/>
        <v>1.3930915211572078E-7</v>
      </c>
      <c r="E821" s="4">
        <f t="shared" si="291"/>
        <v>1.3930915211572078E-7</v>
      </c>
      <c r="F821" s="4">
        <f t="shared" si="291"/>
        <v>1.3930915211572078E-7</v>
      </c>
      <c r="G821" s="4">
        <f t="shared" si="291"/>
        <v>1.3930915211572078E-7</v>
      </c>
      <c r="H821" s="4">
        <f t="shared" si="291"/>
        <v>1.3930915211572078E-7</v>
      </c>
      <c r="I821" s="4">
        <f t="shared" si="291"/>
        <v>1.3930915211572078E-7</v>
      </c>
      <c r="J821" s="4">
        <f t="shared" si="291"/>
        <v>1.3930915211572078E-7</v>
      </c>
      <c r="K821" s="4">
        <f t="shared" si="291"/>
        <v>1.3930915211572078E-7</v>
      </c>
      <c r="L821" s="4">
        <f t="shared" si="291"/>
        <v>1.3930915211572078E-7</v>
      </c>
      <c r="M821" s="4">
        <f t="shared" si="291"/>
        <v>1.3930915211572078E-7</v>
      </c>
      <c r="N821" t="s">
        <v>256</v>
      </c>
      <c r="O821" t="s">
        <v>280</v>
      </c>
      <c r="P821" t="s">
        <v>324</v>
      </c>
      <c r="Q821" t="s">
        <v>245</v>
      </c>
    </row>
    <row r="822" spans="1:17" x14ac:dyDescent="0.25">
      <c r="A822" t="s">
        <v>324</v>
      </c>
      <c r="B822" t="s">
        <v>117</v>
      </c>
      <c r="C822" s="4">
        <f t="shared" ref="C822:M822" si="292">0.212937718373242 * 2.66839948463926%</f>
        <v>5.6820289796741877E-3</v>
      </c>
      <c r="D822" s="4">
        <f t="shared" si="292"/>
        <v>5.6820289796741877E-3</v>
      </c>
      <c r="E822" s="4">
        <f t="shared" si="292"/>
        <v>5.6820289796741877E-3</v>
      </c>
      <c r="F822" s="4">
        <f t="shared" si="292"/>
        <v>5.6820289796741877E-3</v>
      </c>
      <c r="G822" s="4">
        <f t="shared" si="292"/>
        <v>5.6820289796741877E-3</v>
      </c>
      <c r="H822" s="4">
        <f t="shared" si="292"/>
        <v>5.6820289796741877E-3</v>
      </c>
      <c r="I822" s="4">
        <f t="shared" si="292"/>
        <v>5.6820289796741877E-3</v>
      </c>
      <c r="J822" s="4">
        <f t="shared" si="292"/>
        <v>5.6820289796741877E-3</v>
      </c>
      <c r="K822" s="4">
        <f t="shared" si="292"/>
        <v>5.6820289796741877E-3</v>
      </c>
      <c r="L822" s="4">
        <f t="shared" si="292"/>
        <v>5.6820289796741877E-3</v>
      </c>
      <c r="M822" s="4">
        <f t="shared" si="292"/>
        <v>5.6820289796741877E-3</v>
      </c>
      <c r="N822" t="s">
        <v>242</v>
      </c>
      <c r="O822" t="s">
        <v>327</v>
      </c>
      <c r="P822" t="s">
        <v>324</v>
      </c>
      <c r="Q822" t="s">
        <v>245</v>
      </c>
    </row>
    <row r="823" spans="1:17" x14ac:dyDescent="0.25">
      <c r="A823" t="s">
        <v>324</v>
      </c>
      <c r="B823" t="s">
        <v>117</v>
      </c>
      <c r="C823" s="4">
        <f t="shared" ref="C823:M823" si="293">0.755584923910716 * 2.66839948463926%</f>
        <v>2.0162024215645488E-2</v>
      </c>
      <c r="D823" s="4">
        <f t="shared" si="293"/>
        <v>2.0162024215645488E-2</v>
      </c>
      <c r="E823" s="4">
        <f t="shared" si="293"/>
        <v>2.0162024215645488E-2</v>
      </c>
      <c r="F823" s="4">
        <f t="shared" si="293"/>
        <v>2.0162024215645488E-2</v>
      </c>
      <c r="G823" s="4">
        <f t="shared" si="293"/>
        <v>2.0162024215645488E-2</v>
      </c>
      <c r="H823" s="4">
        <f t="shared" si="293"/>
        <v>2.0162024215645488E-2</v>
      </c>
      <c r="I823" s="4">
        <f t="shared" si="293"/>
        <v>2.0162024215645488E-2</v>
      </c>
      <c r="J823" s="4">
        <f t="shared" si="293"/>
        <v>2.0162024215645488E-2</v>
      </c>
      <c r="K823" s="4">
        <f t="shared" si="293"/>
        <v>2.0162024215645488E-2</v>
      </c>
      <c r="L823" s="4">
        <f t="shared" si="293"/>
        <v>2.0162024215645488E-2</v>
      </c>
      <c r="M823" s="4">
        <f t="shared" si="293"/>
        <v>2.0162024215645488E-2</v>
      </c>
      <c r="N823" t="s">
        <v>242</v>
      </c>
      <c r="O823" t="s">
        <v>326</v>
      </c>
      <c r="P823" t="s">
        <v>324</v>
      </c>
      <c r="Q823" t="s">
        <v>245</v>
      </c>
    </row>
    <row r="824" spans="1:17" x14ac:dyDescent="0.25">
      <c r="A824" t="s">
        <v>324</v>
      </c>
      <c r="B824" t="s">
        <v>117</v>
      </c>
      <c r="C824" s="4">
        <f t="shared" ref="C824:M824" si="294">0.00154025450133466 * 2.66839948463926%</f>
        <v>4.1100143175747065E-5</v>
      </c>
      <c r="D824" s="4">
        <f t="shared" si="294"/>
        <v>4.1100143175747065E-5</v>
      </c>
      <c r="E824" s="4">
        <f t="shared" si="294"/>
        <v>4.1100143175747065E-5</v>
      </c>
      <c r="F824" s="4">
        <f t="shared" si="294"/>
        <v>4.1100143175747065E-5</v>
      </c>
      <c r="G824" s="4">
        <f t="shared" si="294"/>
        <v>4.1100143175747065E-5</v>
      </c>
      <c r="H824" s="4">
        <f t="shared" si="294"/>
        <v>4.1100143175747065E-5</v>
      </c>
      <c r="I824" s="4">
        <f t="shared" si="294"/>
        <v>4.1100143175747065E-5</v>
      </c>
      <c r="J824" s="4">
        <f t="shared" si="294"/>
        <v>4.1100143175747065E-5</v>
      </c>
      <c r="K824" s="4">
        <f t="shared" si="294"/>
        <v>4.1100143175747065E-5</v>
      </c>
      <c r="L824" s="4">
        <f t="shared" si="294"/>
        <v>4.1100143175747065E-5</v>
      </c>
      <c r="M824" s="4">
        <f t="shared" si="294"/>
        <v>4.1100143175747065E-5</v>
      </c>
      <c r="N824" t="s">
        <v>242</v>
      </c>
      <c r="O824" t="s">
        <v>289</v>
      </c>
      <c r="P824" t="s">
        <v>324</v>
      </c>
      <c r="Q824" t="s">
        <v>245</v>
      </c>
    </row>
    <row r="825" spans="1:17" x14ac:dyDescent="0.25">
      <c r="A825" t="s">
        <v>324</v>
      </c>
      <c r="B825" t="s">
        <v>117</v>
      </c>
      <c r="C825" s="4">
        <f t="shared" ref="C825:M825" si="295">4.63438553364394E-10 * 2.66839948463926%</f>
        <v>1.236639196959513E-11</v>
      </c>
      <c r="D825" s="4">
        <f t="shared" si="295"/>
        <v>1.236639196959513E-11</v>
      </c>
      <c r="E825" s="4">
        <f t="shared" si="295"/>
        <v>1.236639196959513E-11</v>
      </c>
      <c r="F825" s="4">
        <f t="shared" si="295"/>
        <v>1.236639196959513E-11</v>
      </c>
      <c r="G825" s="4">
        <f t="shared" si="295"/>
        <v>1.236639196959513E-11</v>
      </c>
      <c r="H825" s="4">
        <f t="shared" si="295"/>
        <v>1.236639196959513E-11</v>
      </c>
      <c r="I825" s="4">
        <f t="shared" si="295"/>
        <v>1.236639196959513E-11</v>
      </c>
      <c r="J825" s="4">
        <f t="shared" si="295"/>
        <v>1.236639196959513E-11</v>
      </c>
      <c r="K825" s="4">
        <f t="shared" si="295"/>
        <v>1.236639196959513E-11</v>
      </c>
      <c r="L825" s="4">
        <f t="shared" si="295"/>
        <v>1.236639196959513E-11</v>
      </c>
      <c r="M825" s="4">
        <f t="shared" si="295"/>
        <v>1.236639196959513E-11</v>
      </c>
      <c r="N825" t="s">
        <v>256</v>
      </c>
      <c r="O825" t="s">
        <v>322</v>
      </c>
      <c r="P825" t="s">
        <v>324</v>
      </c>
      <c r="Q825" t="s">
        <v>245</v>
      </c>
    </row>
    <row r="826" spans="1:17" x14ac:dyDescent="0.25">
      <c r="A826" t="s">
        <v>324</v>
      </c>
      <c r="B826" t="s">
        <v>117</v>
      </c>
      <c r="C826" s="4">
        <f t="shared" ref="C826:M826" si="296">1.80533525994585E-09 * 2.66839948463926%</f>
        <v>4.8173556772405899E-11</v>
      </c>
      <c r="D826" s="4">
        <f t="shared" si="296"/>
        <v>4.8173556772405899E-11</v>
      </c>
      <c r="E826" s="4">
        <f t="shared" si="296"/>
        <v>4.8173556772405899E-11</v>
      </c>
      <c r="F826" s="4">
        <f t="shared" si="296"/>
        <v>4.8173556772405899E-11</v>
      </c>
      <c r="G826" s="4">
        <f t="shared" si="296"/>
        <v>4.8173556772405899E-11</v>
      </c>
      <c r="H826" s="4">
        <f t="shared" si="296"/>
        <v>4.8173556772405899E-11</v>
      </c>
      <c r="I826" s="4">
        <f t="shared" si="296"/>
        <v>4.8173556772405899E-11</v>
      </c>
      <c r="J826" s="4">
        <f t="shared" si="296"/>
        <v>4.8173556772405899E-11</v>
      </c>
      <c r="K826" s="4">
        <f t="shared" si="296"/>
        <v>4.8173556772405899E-11</v>
      </c>
      <c r="L826" s="4">
        <f t="shared" si="296"/>
        <v>4.8173556772405899E-11</v>
      </c>
      <c r="M826" s="4">
        <f t="shared" si="296"/>
        <v>4.8173556772405899E-11</v>
      </c>
      <c r="N826" t="s">
        <v>256</v>
      </c>
      <c r="O826" t="s">
        <v>323</v>
      </c>
      <c r="P826" t="s">
        <v>324</v>
      </c>
      <c r="Q826" t="s">
        <v>245</v>
      </c>
    </row>
    <row r="827" spans="1:17" x14ac:dyDescent="0.25">
      <c r="A827" t="s">
        <v>324</v>
      </c>
      <c r="B827" t="s">
        <v>117</v>
      </c>
      <c r="C827" s="4">
        <f t="shared" ref="C827:M827" si="297">0.000343246436607167 * 2.66839948463926%</f>
        <v>9.1591861454682681E-6</v>
      </c>
      <c r="D827" s="4">
        <f t="shared" si="297"/>
        <v>9.1591861454682681E-6</v>
      </c>
      <c r="E827" s="4">
        <f t="shared" si="297"/>
        <v>9.1591861454682681E-6</v>
      </c>
      <c r="F827" s="4">
        <f t="shared" si="297"/>
        <v>9.1591861454682681E-6</v>
      </c>
      <c r="G827" s="4">
        <f t="shared" si="297"/>
        <v>9.1591861454682681E-6</v>
      </c>
      <c r="H827" s="4">
        <f t="shared" si="297"/>
        <v>9.1591861454682681E-6</v>
      </c>
      <c r="I827" s="4">
        <f t="shared" si="297"/>
        <v>9.1591861454682681E-6</v>
      </c>
      <c r="J827" s="4">
        <f t="shared" si="297"/>
        <v>9.1591861454682681E-6</v>
      </c>
      <c r="K827" s="4">
        <f t="shared" si="297"/>
        <v>9.1591861454682681E-6</v>
      </c>
      <c r="L827" s="4">
        <f t="shared" si="297"/>
        <v>9.1591861454682681E-6</v>
      </c>
      <c r="M827" s="4">
        <f t="shared" si="297"/>
        <v>9.1591861454682681E-6</v>
      </c>
      <c r="N827" t="s">
        <v>256</v>
      </c>
      <c r="O827" t="s">
        <v>280</v>
      </c>
      <c r="P827" t="s">
        <v>324</v>
      </c>
      <c r="Q827" t="s">
        <v>245</v>
      </c>
    </row>
    <row r="828" spans="1:17" x14ac:dyDescent="0.25">
      <c r="A828" t="s">
        <v>324</v>
      </c>
      <c r="B828" t="s">
        <v>97</v>
      </c>
      <c r="C828" s="4">
        <f t="shared" ref="C828:M828" si="298">0.212937718373242 * 2.77896726436054%</f>
        <v>5.9174694870686335E-3</v>
      </c>
      <c r="D828" s="4">
        <f t="shared" si="298"/>
        <v>5.9174694870686335E-3</v>
      </c>
      <c r="E828" s="4">
        <f t="shared" si="298"/>
        <v>5.9174694870686335E-3</v>
      </c>
      <c r="F828" s="4">
        <f t="shared" si="298"/>
        <v>5.9174694870686335E-3</v>
      </c>
      <c r="G828" s="4">
        <f t="shared" si="298"/>
        <v>5.9174694870686335E-3</v>
      </c>
      <c r="H828" s="4">
        <f t="shared" si="298"/>
        <v>5.9174694870686335E-3</v>
      </c>
      <c r="I828" s="4">
        <f t="shared" si="298"/>
        <v>5.9174694870686335E-3</v>
      </c>
      <c r="J828" s="4">
        <f t="shared" si="298"/>
        <v>5.9174694870686335E-3</v>
      </c>
      <c r="K828" s="4">
        <f t="shared" si="298"/>
        <v>5.9174694870686335E-3</v>
      </c>
      <c r="L828" s="4">
        <f t="shared" si="298"/>
        <v>5.9174694870686335E-3</v>
      </c>
      <c r="M828" s="4">
        <f t="shared" si="298"/>
        <v>5.9174694870686335E-3</v>
      </c>
      <c r="N828" t="s">
        <v>242</v>
      </c>
      <c r="O828" t="s">
        <v>327</v>
      </c>
      <c r="P828" t="s">
        <v>324</v>
      </c>
      <c r="Q828" t="s">
        <v>245</v>
      </c>
    </row>
    <row r="829" spans="1:17" x14ac:dyDescent="0.25">
      <c r="A829" t="s">
        <v>324</v>
      </c>
      <c r="B829" t="s">
        <v>97</v>
      </c>
      <c r="C829" s="4">
        <f t="shared" ref="C829:M829" si="299">0.755584923910716 * 2.77896726436054%</f>
        <v>2.099745768992229E-2</v>
      </c>
      <c r="D829" s="4">
        <f t="shared" si="299"/>
        <v>2.099745768992229E-2</v>
      </c>
      <c r="E829" s="4">
        <f t="shared" si="299"/>
        <v>2.099745768992229E-2</v>
      </c>
      <c r="F829" s="4">
        <f t="shared" si="299"/>
        <v>2.099745768992229E-2</v>
      </c>
      <c r="G829" s="4">
        <f t="shared" si="299"/>
        <v>2.099745768992229E-2</v>
      </c>
      <c r="H829" s="4">
        <f t="shared" si="299"/>
        <v>2.099745768992229E-2</v>
      </c>
      <c r="I829" s="4">
        <f t="shared" si="299"/>
        <v>2.099745768992229E-2</v>
      </c>
      <c r="J829" s="4">
        <f t="shared" si="299"/>
        <v>2.099745768992229E-2</v>
      </c>
      <c r="K829" s="4">
        <f t="shared" si="299"/>
        <v>2.099745768992229E-2</v>
      </c>
      <c r="L829" s="4">
        <f t="shared" si="299"/>
        <v>2.099745768992229E-2</v>
      </c>
      <c r="M829" s="4">
        <f t="shared" si="299"/>
        <v>2.099745768992229E-2</v>
      </c>
      <c r="N829" t="s">
        <v>242</v>
      </c>
      <c r="O829" t="s">
        <v>326</v>
      </c>
      <c r="P829" t="s">
        <v>324</v>
      </c>
      <c r="Q829" t="s">
        <v>245</v>
      </c>
    </row>
    <row r="830" spans="1:17" x14ac:dyDescent="0.25">
      <c r="A830" t="s">
        <v>324</v>
      </c>
      <c r="B830" t="s">
        <v>97</v>
      </c>
      <c r="C830" s="4">
        <f t="shared" ref="C830:M830" si="300">0.00154025450133466 * 2.77896726436054%</f>
        <v>4.2803168379929875E-5</v>
      </c>
      <c r="D830" s="4">
        <f t="shared" si="300"/>
        <v>4.2803168379929875E-5</v>
      </c>
      <c r="E830" s="4">
        <f t="shared" si="300"/>
        <v>4.2803168379929875E-5</v>
      </c>
      <c r="F830" s="4">
        <f t="shared" si="300"/>
        <v>4.2803168379929875E-5</v>
      </c>
      <c r="G830" s="4">
        <f t="shared" si="300"/>
        <v>4.2803168379929875E-5</v>
      </c>
      <c r="H830" s="4">
        <f t="shared" si="300"/>
        <v>4.2803168379929875E-5</v>
      </c>
      <c r="I830" s="4">
        <f t="shared" si="300"/>
        <v>4.2803168379929875E-5</v>
      </c>
      <c r="J830" s="4">
        <f t="shared" si="300"/>
        <v>4.2803168379929875E-5</v>
      </c>
      <c r="K830" s="4">
        <f t="shared" si="300"/>
        <v>4.2803168379929875E-5</v>
      </c>
      <c r="L830" s="4">
        <f t="shared" si="300"/>
        <v>4.2803168379929875E-5</v>
      </c>
      <c r="M830" s="4">
        <f t="shared" si="300"/>
        <v>4.2803168379929875E-5</v>
      </c>
      <c r="N830" t="s">
        <v>242</v>
      </c>
      <c r="O830" t="s">
        <v>289</v>
      </c>
      <c r="P830" t="s">
        <v>324</v>
      </c>
      <c r="Q830" t="s">
        <v>245</v>
      </c>
    </row>
    <row r="831" spans="1:17" x14ac:dyDescent="0.25">
      <c r="A831" t="s">
        <v>324</v>
      </c>
      <c r="B831" t="s">
        <v>97</v>
      </c>
      <c r="C831" s="4">
        <f t="shared" ref="C831:M831" si="301">4.63438553364394E-10 * 2.77896726436054%</f>
        <v>1.2878805688422561E-11</v>
      </c>
      <c r="D831" s="4">
        <f t="shared" si="301"/>
        <v>1.2878805688422561E-11</v>
      </c>
      <c r="E831" s="4">
        <f t="shared" si="301"/>
        <v>1.2878805688422561E-11</v>
      </c>
      <c r="F831" s="4">
        <f t="shared" si="301"/>
        <v>1.2878805688422561E-11</v>
      </c>
      <c r="G831" s="4">
        <f t="shared" si="301"/>
        <v>1.2878805688422561E-11</v>
      </c>
      <c r="H831" s="4">
        <f t="shared" si="301"/>
        <v>1.2878805688422561E-11</v>
      </c>
      <c r="I831" s="4">
        <f t="shared" si="301"/>
        <v>1.2878805688422561E-11</v>
      </c>
      <c r="J831" s="4">
        <f t="shared" si="301"/>
        <v>1.2878805688422561E-11</v>
      </c>
      <c r="K831" s="4">
        <f t="shared" si="301"/>
        <v>1.2878805688422561E-11</v>
      </c>
      <c r="L831" s="4">
        <f t="shared" si="301"/>
        <v>1.2878805688422561E-11</v>
      </c>
      <c r="M831" s="4">
        <f t="shared" si="301"/>
        <v>1.2878805688422561E-11</v>
      </c>
      <c r="N831" t="s">
        <v>256</v>
      </c>
      <c r="O831" t="s">
        <v>322</v>
      </c>
      <c r="P831" t="s">
        <v>324</v>
      </c>
      <c r="Q831" t="s">
        <v>245</v>
      </c>
    </row>
    <row r="832" spans="1:17" x14ac:dyDescent="0.25">
      <c r="A832" t="s">
        <v>324</v>
      </c>
      <c r="B832" t="s">
        <v>97</v>
      </c>
      <c r="C832" s="4">
        <f t="shared" ref="C832:M832" si="302">1.80533525994585E-09 * 2.77896726436054%</f>
        <v>5.0169675885853431E-11</v>
      </c>
      <c r="D832" s="4">
        <f t="shared" si="302"/>
        <v>5.0169675885853431E-11</v>
      </c>
      <c r="E832" s="4">
        <f t="shared" si="302"/>
        <v>5.0169675885853431E-11</v>
      </c>
      <c r="F832" s="4">
        <f t="shared" si="302"/>
        <v>5.0169675885853431E-11</v>
      </c>
      <c r="G832" s="4">
        <f t="shared" si="302"/>
        <v>5.0169675885853431E-11</v>
      </c>
      <c r="H832" s="4">
        <f t="shared" si="302"/>
        <v>5.0169675885853431E-11</v>
      </c>
      <c r="I832" s="4">
        <f t="shared" si="302"/>
        <v>5.0169675885853431E-11</v>
      </c>
      <c r="J832" s="4">
        <f t="shared" si="302"/>
        <v>5.0169675885853431E-11</v>
      </c>
      <c r="K832" s="4">
        <f t="shared" si="302"/>
        <v>5.0169675885853431E-11</v>
      </c>
      <c r="L832" s="4">
        <f t="shared" si="302"/>
        <v>5.0169675885853431E-11</v>
      </c>
      <c r="M832" s="4">
        <f t="shared" si="302"/>
        <v>5.0169675885853431E-11</v>
      </c>
      <c r="N832" t="s">
        <v>256</v>
      </c>
      <c r="O832" t="s">
        <v>323</v>
      </c>
      <c r="P832" t="s">
        <v>324</v>
      </c>
      <c r="Q832" t="s">
        <v>245</v>
      </c>
    </row>
    <row r="833" spans="1:17" x14ac:dyDescent="0.25">
      <c r="A833" t="s">
        <v>324</v>
      </c>
      <c r="B833" t="s">
        <v>97</v>
      </c>
      <c r="C833" s="4">
        <f t="shared" ref="C833:M833" si="303">0.000343246436607167 * 2.77896726436054%</f>
        <v>9.5387061093972227E-6</v>
      </c>
      <c r="D833" s="4">
        <f t="shared" si="303"/>
        <v>9.5387061093972227E-6</v>
      </c>
      <c r="E833" s="4">
        <f t="shared" si="303"/>
        <v>9.5387061093972227E-6</v>
      </c>
      <c r="F833" s="4">
        <f t="shared" si="303"/>
        <v>9.5387061093972227E-6</v>
      </c>
      <c r="G833" s="4">
        <f t="shared" si="303"/>
        <v>9.5387061093972227E-6</v>
      </c>
      <c r="H833" s="4">
        <f t="shared" si="303"/>
        <v>9.5387061093972227E-6</v>
      </c>
      <c r="I833" s="4">
        <f t="shared" si="303"/>
        <v>9.5387061093972227E-6</v>
      </c>
      <c r="J833" s="4">
        <f t="shared" si="303"/>
        <v>9.5387061093972227E-6</v>
      </c>
      <c r="K833" s="4">
        <f t="shared" si="303"/>
        <v>9.5387061093972227E-6</v>
      </c>
      <c r="L833" s="4">
        <f t="shared" si="303"/>
        <v>9.5387061093972227E-6</v>
      </c>
      <c r="M833" s="4">
        <f t="shared" si="303"/>
        <v>9.5387061093972227E-6</v>
      </c>
      <c r="N833" t="s">
        <v>256</v>
      </c>
      <c r="O833" t="s">
        <v>280</v>
      </c>
      <c r="P833" t="s">
        <v>324</v>
      </c>
      <c r="Q833" t="s">
        <v>245</v>
      </c>
    </row>
    <row r="834" spans="1:17" x14ac:dyDescent="0.25">
      <c r="A834" t="s">
        <v>324</v>
      </c>
      <c r="B834" t="s">
        <v>98</v>
      </c>
      <c r="C834" s="4">
        <f t="shared" ref="C834:M834" si="304">0.212937718373242 * 1.11350543043285%</f>
        <v>2.3710730575258582E-3</v>
      </c>
      <c r="D834" s="4">
        <f t="shared" si="304"/>
        <v>2.3710730575258582E-3</v>
      </c>
      <c r="E834" s="4">
        <f t="shared" si="304"/>
        <v>2.3710730575258582E-3</v>
      </c>
      <c r="F834" s="4">
        <f t="shared" si="304"/>
        <v>2.3710730575258582E-3</v>
      </c>
      <c r="G834" s="4">
        <f t="shared" si="304"/>
        <v>2.3710730575258582E-3</v>
      </c>
      <c r="H834" s="4">
        <f t="shared" si="304"/>
        <v>2.3710730575258582E-3</v>
      </c>
      <c r="I834" s="4">
        <f t="shared" si="304"/>
        <v>2.3710730575258582E-3</v>
      </c>
      <c r="J834" s="4">
        <f t="shared" si="304"/>
        <v>2.3710730575258582E-3</v>
      </c>
      <c r="K834" s="4">
        <f t="shared" si="304"/>
        <v>2.3710730575258582E-3</v>
      </c>
      <c r="L834" s="4">
        <f t="shared" si="304"/>
        <v>2.3710730575258582E-3</v>
      </c>
      <c r="M834" s="4">
        <f t="shared" si="304"/>
        <v>2.3710730575258582E-3</v>
      </c>
      <c r="N834" t="s">
        <v>242</v>
      </c>
      <c r="O834" t="s">
        <v>327</v>
      </c>
      <c r="P834" t="s">
        <v>324</v>
      </c>
      <c r="Q834" t="s">
        <v>245</v>
      </c>
    </row>
    <row r="835" spans="1:17" x14ac:dyDescent="0.25">
      <c r="A835" t="s">
        <v>324</v>
      </c>
      <c r="B835" t="s">
        <v>98</v>
      </c>
      <c r="C835" s="4">
        <f t="shared" ref="C835:M835" si="305">0.755584923910716 * 1.11350543043285%</f>
        <v>8.4134791592777401E-3</v>
      </c>
      <c r="D835" s="4">
        <f t="shared" si="305"/>
        <v>8.4134791592777401E-3</v>
      </c>
      <c r="E835" s="4">
        <f t="shared" si="305"/>
        <v>8.4134791592777401E-3</v>
      </c>
      <c r="F835" s="4">
        <f t="shared" si="305"/>
        <v>8.4134791592777401E-3</v>
      </c>
      <c r="G835" s="4">
        <f t="shared" si="305"/>
        <v>8.4134791592777401E-3</v>
      </c>
      <c r="H835" s="4">
        <f t="shared" si="305"/>
        <v>8.4134791592777401E-3</v>
      </c>
      <c r="I835" s="4">
        <f t="shared" si="305"/>
        <v>8.4134791592777401E-3</v>
      </c>
      <c r="J835" s="4">
        <f t="shared" si="305"/>
        <v>8.4134791592777401E-3</v>
      </c>
      <c r="K835" s="4">
        <f t="shared" si="305"/>
        <v>8.4134791592777401E-3</v>
      </c>
      <c r="L835" s="4">
        <f t="shared" si="305"/>
        <v>8.4134791592777401E-3</v>
      </c>
      <c r="M835" s="4">
        <f t="shared" si="305"/>
        <v>8.4134791592777401E-3</v>
      </c>
      <c r="N835" t="s">
        <v>242</v>
      </c>
      <c r="O835" t="s">
        <v>326</v>
      </c>
      <c r="P835" t="s">
        <v>324</v>
      </c>
      <c r="Q835" t="s">
        <v>245</v>
      </c>
    </row>
    <row r="836" spans="1:17" x14ac:dyDescent="0.25">
      <c r="A836" t="s">
        <v>324</v>
      </c>
      <c r="B836" t="s">
        <v>98</v>
      </c>
      <c r="C836" s="4">
        <f t="shared" ref="C836:M836" si="306">0.00154025450133466 * 1.11350543043285%</f>
        <v>1.7150817514847854E-5</v>
      </c>
      <c r="D836" s="4">
        <f t="shared" si="306"/>
        <v>1.7150817514847854E-5</v>
      </c>
      <c r="E836" s="4">
        <f t="shared" si="306"/>
        <v>1.7150817514847854E-5</v>
      </c>
      <c r="F836" s="4">
        <f t="shared" si="306"/>
        <v>1.7150817514847854E-5</v>
      </c>
      <c r="G836" s="4">
        <f t="shared" si="306"/>
        <v>1.7150817514847854E-5</v>
      </c>
      <c r="H836" s="4">
        <f t="shared" si="306"/>
        <v>1.7150817514847854E-5</v>
      </c>
      <c r="I836" s="4">
        <f t="shared" si="306"/>
        <v>1.7150817514847854E-5</v>
      </c>
      <c r="J836" s="4">
        <f t="shared" si="306"/>
        <v>1.7150817514847854E-5</v>
      </c>
      <c r="K836" s="4">
        <f t="shared" si="306"/>
        <v>1.7150817514847854E-5</v>
      </c>
      <c r="L836" s="4">
        <f t="shared" si="306"/>
        <v>1.7150817514847854E-5</v>
      </c>
      <c r="M836" s="4">
        <f t="shared" si="306"/>
        <v>1.7150817514847854E-5</v>
      </c>
      <c r="N836" t="s">
        <v>242</v>
      </c>
      <c r="O836" t="s">
        <v>289</v>
      </c>
      <c r="P836" t="s">
        <v>324</v>
      </c>
      <c r="Q836" t="s">
        <v>245</v>
      </c>
    </row>
    <row r="837" spans="1:17" x14ac:dyDescent="0.25">
      <c r="A837" t="s">
        <v>324</v>
      </c>
      <c r="B837" t="s">
        <v>98</v>
      </c>
      <c r="C837" s="4">
        <f t="shared" ref="C837:M837" si="307">4.63438553364394E-10 * 1.11350543043285%</f>
        <v>5.1604134584319684E-12</v>
      </c>
      <c r="D837" s="4">
        <f t="shared" si="307"/>
        <v>5.1604134584319684E-12</v>
      </c>
      <c r="E837" s="4">
        <f t="shared" si="307"/>
        <v>5.1604134584319684E-12</v>
      </c>
      <c r="F837" s="4">
        <f t="shared" si="307"/>
        <v>5.1604134584319684E-12</v>
      </c>
      <c r="G837" s="4">
        <f t="shared" si="307"/>
        <v>5.1604134584319684E-12</v>
      </c>
      <c r="H837" s="4">
        <f t="shared" si="307"/>
        <v>5.1604134584319684E-12</v>
      </c>
      <c r="I837" s="4">
        <f t="shared" si="307"/>
        <v>5.1604134584319684E-12</v>
      </c>
      <c r="J837" s="4">
        <f t="shared" si="307"/>
        <v>5.1604134584319684E-12</v>
      </c>
      <c r="K837" s="4">
        <f t="shared" si="307"/>
        <v>5.1604134584319684E-12</v>
      </c>
      <c r="L837" s="4">
        <f t="shared" si="307"/>
        <v>5.1604134584319684E-12</v>
      </c>
      <c r="M837" s="4">
        <f t="shared" si="307"/>
        <v>5.1604134584319684E-12</v>
      </c>
      <c r="N837" t="s">
        <v>256</v>
      </c>
      <c r="O837" t="s">
        <v>322</v>
      </c>
      <c r="P837" t="s">
        <v>324</v>
      </c>
      <c r="Q837" t="s">
        <v>245</v>
      </c>
    </row>
    <row r="838" spans="1:17" x14ac:dyDescent="0.25">
      <c r="A838" t="s">
        <v>324</v>
      </c>
      <c r="B838" t="s">
        <v>98</v>
      </c>
      <c r="C838" s="4">
        <f t="shared" ref="C838:M838" si="308">1.80533525994585E-09 * 1.11350543043285%</f>
        <v>2.0102506157016047E-11</v>
      </c>
      <c r="D838" s="4">
        <f t="shared" si="308"/>
        <v>2.0102506157016047E-11</v>
      </c>
      <c r="E838" s="4">
        <f t="shared" si="308"/>
        <v>2.0102506157016047E-11</v>
      </c>
      <c r="F838" s="4">
        <f t="shared" si="308"/>
        <v>2.0102506157016047E-11</v>
      </c>
      <c r="G838" s="4">
        <f t="shared" si="308"/>
        <v>2.0102506157016047E-11</v>
      </c>
      <c r="H838" s="4">
        <f t="shared" si="308"/>
        <v>2.0102506157016047E-11</v>
      </c>
      <c r="I838" s="4">
        <f t="shared" si="308"/>
        <v>2.0102506157016047E-11</v>
      </c>
      <c r="J838" s="4">
        <f t="shared" si="308"/>
        <v>2.0102506157016047E-11</v>
      </c>
      <c r="K838" s="4">
        <f t="shared" si="308"/>
        <v>2.0102506157016047E-11</v>
      </c>
      <c r="L838" s="4">
        <f t="shared" si="308"/>
        <v>2.0102506157016047E-11</v>
      </c>
      <c r="M838" s="4">
        <f t="shared" si="308"/>
        <v>2.0102506157016047E-11</v>
      </c>
      <c r="N838" t="s">
        <v>256</v>
      </c>
      <c r="O838" t="s">
        <v>323</v>
      </c>
      <c r="P838" t="s">
        <v>324</v>
      </c>
      <c r="Q838" t="s">
        <v>245</v>
      </c>
    </row>
    <row r="839" spans="1:17" x14ac:dyDescent="0.25">
      <c r="A839" t="s">
        <v>324</v>
      </c>
      <c r="B839" t="s">
        <v>98</v>
      </c>
      <c r="C839" s="4">
        <f t="shared" ref="C839:M839" si="309">0.000343246436607167 * 1.11350543043285%</f>
        <v>3.8220677113880543E-6</v>
      </c>
      <c r="D839" s="4">
        <f t="shared" si="309"/>
        <v>3.8220677113880543E-6</v>
      </c>
      <c r="E839" s="4">
        <f t="shared" si="309"/>
        <v>3.8220677113880543E-6</v>
      </c>
      <c r="F839" s="4">
        <f t="shared" si="309"/>
        <v>3.8220677113880543E-6</v>
      </c>
      <c r="G839" s="4">
        <f t="shared" si="309"/>
        <v>3.8220677113880543E-6</v>
      </c>
      <c r="H839" s="4">
        <f t="shared" si="309"/>
        <v>3.8220677113880543E-6</v>
      </c>
      <c r="I839" s="4">
        <f t="shared" si="309"/>
        <v>3.8220677113880543E-6</v>
      </c>
      <c r="J839" s="4">
        <f t="shared" si="309"/>
        <v>3.8220677113880543E-6</v>
      </c>
      <c r="K839" s="4">
        <f t="shared" si="309"/>
        <v>3.8220677113880543E-6</v>
      </c>
      <c r="L839" s="4">
        <f t="shared" si="309"/>
        <v>3.8220677113880543E-6</v>
      </c>
      <c r="M839" s="4">
        <f t="shared" si="309"/>
        <v>3.8220677113880543E-6</v>
      </c>
      <c r="N839" t="s">
        <v>256</v>
      </c>
      <c r="O839" t="s">
        <v>280</v>
      </c>
      <c r="P839" t="s">
        <v>324</v>
      </c>
      <c r="Q839" t="s">
        <v>245</v>
      </c>
    </row>
    <row r="840" spans="1:17" x14ac:dyDescent="0.25">
      <c r="A840" t="s">
        <v>324</v>
      </c>
      <c r="B840" t="s">
        <v>99</v>
      </c>
      <c r="C840" s="4">
        <f t="shared" ref="C840:M840" si="310">0.212937718373242 * 1.00276541653552%</f>
        <v>2.1352657986066725E-3</v>
      </c>
      <c r="D840" s="4">
        <f t="shared" si="310"/>
        <v>2.1352657986066725E-3</v>
      </c>
      <c r="E840" s="4">
        <f t="shared" si="310"/>
        <v>2.1352657986066725E-3</v>
      </c>
      <c r="F840" s="4">
        <f t="shared" si="310"/>
        <v>2.1352657986066725E-3</v>
      </c>
      <c r="G840" s="4">
        <f t="shared" si="310"/>
        <v>2.1352657986066725E-3</v>
      </c>
      <c r="H840" s="4">
        <f t="shared" si="310"/>
        <v>2.1352657986066725E-3</v>
      </c>
      <c r="I840" s="4">
        <f t="shared" si="310"/>
        <v>2.1352657986066725E-3</v>
      </c>
      <c r="J840" s="4">
        <f t="shared" si="310"/>
        <v>2.1352657986066725E-3</v>
      </c>
      <c r="K840" s="4">
        <f t="shared" si="310"/>
        <v>2.1352657986066725E-3</v>
      </c>
      <c r="L840" s="4">
        <f t="shared" si="310"/>
        <v>2.1352657986066725E-3</v>
      </c>
      <c r="M840" s="4">
        <f t="shared" si="310"/>
        <v>2.1352657986066725E-3</v>
      </c>
      <c r="N840" t="s">
        <v>242</v>
      </c>
      <c r="O840" t="s">
        <v>327</v>
      </c>
      <c r="P840" t="s">
        <v>324</v>
      </c>
      <c r="Q840" t="s">
        <v>245</v>
      </c>
    </row>
    <row r="841" spans="1:17" x14ac:dyDescent="0.25">
      <c r="A841" t="s">
        <v>324</v>
      </c>
      <c r="B841" t="s">
        <v>99</v>
      </c>
      <c r="C841" s="4">
        <f t="shared" ref="C841:M841" si="311">0.755584923910716 * 1.00276541653552%</f>
        <v>7.5767443095328835E-3</v>
      </c>
      <c r="D841" s="4">
        <f t="shared" si="311"/>
        <v>7.5767443095328835E-3</v>
      </c>
      <c r="E841" s="4">
        <f t="shared" si="311"/>
        <v>7.5767443095328835E-3</v>
      </c>
      <c r="F841" s="4">
        <f t="shared" si="311"/>
        <v>7.5767443095328835E-3</v>
      </c>
      <c r="G841" s="4">
        <f t="shared" si="311"/>
        <v>7.5767443095328835E-3</v>
      </c>
      <c r="H841" s="4">
        <f t="shared" si="311"/>
        <v>7.5767443095328835E-3</v>
      </c>
      <c r="I841" s="4">
        <f t="shared" si="311"/>
        <v>7.5767443095328835E-3</v>
      </c>
      <c r="J841" s="4">
        <f t="shared" si="311"/>
        <v>7.5767443095328835E-3</v>
      </c>
      <c r="K841" s="4">
        <f t="shared" si="311"/>
        <v>7.5767443095328835E-3</v>
      </c>
      <c r="L841" s="4">
        <f t="shared" si="311"/>
        <v>7.5767443095328835E-3</v>
      </c>
      <c r="M841" s="4">
        <f t="shared" si="311"/>
        <v>7.5767443095328835E-3</v>
      </c>
      <c r="N841" t="s">
        <v>242</v>
      </c>
      <c r="O841" t="s">
        <v>326</v>
      </c>
      <c r="P841" t="s">
        <v>324</v>
      </c>
      <c r="Q841" t="s">
        <v>245</v>
      </c>
    </row>
    <row r="842" spans="1:17" x14ac:dyDescent="0.25">
      <c r="A842" t="s">
        <v>324</v>
      </c>
      <c r="B842" t="s">
        <v>99</v>
      </c>
      <c r="C842" s="4">
        <f t="shared" ref="C842:M842" si="312">0.00154025450133466 * 1.00276541653552%</f>
        <v>1.5445139466015602E-5</v>
      </c>
      <c r="D842" s="4">
        <f t="shared" si="312"/>
        <v>1.5445139466015602E-5</v>
      </c>
      <c r="E842" s="4">
        <f t="shared" si="312"/>
        <v>1.5445139466015602E-5</v>
      </c>
      <c r="F842" s="4">
        <f t="shared" si="312"/>
        <v>1.5445139466015602E-5</v>
      </c>
      <c r="G842" s="4">
        <f t="shared" si="312"/>
        <v>1.5445139466015602E-5</v>
      </c>
      <c r="H842" s="4">
        <f t="shared" si="312"/>
        <v>1.5445139466015602E-5</v>
      </c>
      <c r="I842" s="4">
        <f t="shared" si="312"/>
        <v>1.5445139466015602E-5</v>
      </c>
      <c r="J842" s="4">
        <f t="shared" si="312"/>
        <v>1.5445139466015602E-5</v>
      </c>
      <c r="K842" s="4">
        <f t="shared" si="312"/>
        <v>1.5445139466015602E-5</v>
      </c>
      <c r="L842" s="4">
        <f t="shared" si="312"/>
        <v>1.5445139466015602E-5</v>
      </c>
      <c r="M842" s="4">
        <f t="shared" si="312"/>
        <v>1.5445139466015602E-5</v>
      </c>
      <c r="N842" t="s">
        <v>242</v>
      </c>
      <c r="O842" t="s">
        <v>289</v>
      </c>
      <c r="P842" t="s">
        <v>324</v>
      </c>
      <c r="Q842" t="s">
        <v>245</v>
      </c>
    </row>
    <row r="843" spans="1:17" x14ac:dyDescent="0.25">
      <c r="A843" t="s">
        <v>324</v>
      </c>
      <c r="B843" t="s">
        <v>99</v>
      </c>
      <c r="C843" s="4">
        <f t="shared" ref="C843:M843" si="313">4.63438553364394E-10 * 1.00276541653552%</f>
        <v>4.6472015400306536E-12</v>
      </c>
      <c r="D843" s="4">
        <f t="shared" si="313"/>
        <v>4.6472015400306536E-12</v>
      </c>
      <c r="E843" s="4">
        <f t="shared" si="313"/>
        <v>4.6472015400306536E-12</v>
      </c>
      <c r="F843" s="4">
        <f t="shared" si="313"/>
        <v>4.6472015400306536E-12</v>
      </c>
      <c r="G843" s="4">
        <f t="shared" si="313"/>
        <v>4.6472015400306536E-12</v>
      </c>
      <c r="H843" s="4">
        <f t="shared" si="313"/>
        <v>4.6472015400306536E-12</v>
      </c>
      <c r="I843" s="4">
        <f t="shared" si="313"/>
        <v>4.6472015400306536E-12</v>
      </c>
      <c r="J843" s="4">
        <f t="shared" si="313"/>
        <v>4.6472015400306536E-12</v>
      </c>
      <c r="K843" s="4">
        <f t="shared" si="313"/>
        <v>4.6472015400306536E-12</v>
      </c>
      <c r="L843" s="4">
        <f t="shared" si="313"/>
        <v>4.6472015400306536E-12</v>
      </c>
      <c r="M843" s="4">
        <f t="shared" si="313"/>
        <v>4.6472015400306536E-12</v>
      </c>
      <c r="N843" t="s">
        <v>256</v>
      </c>
      <c r="O843" t="s">
        <v>322</v>
      </c>
      <c r="P843" t="s">
        <v>324</v>
      </c>
      <c r="Q843" t="s">
        <v>245</v>
      </c>
    </row>
    <row r="844" spans="1:17" x14ac:dyDescent="0.25">
      <c r="A844" t="s">
        <v>324</v>
      </c>
      <c r="B844" t="s">
        <v>99</v>
      </c>
      <c r="C844" s="4">
        <f t="shared" ref="C844:M844" si="314">1.80533525994585E-09 * 1.00276541653552%</f>
        <v>1.8103277639258615E-11</v>
      </c>
      <c r="D844" s="4">
        <f t="shared" si="314"/>
        <v>1.8103277639258615E-11</v>
      </c>
      <c r="E844" s="4">
        <f t="shared" si="314"/>
        <v>1.8103277639258615E-11</v>
      </c>
      <c r="F844" s="4">
        <f t="shared" si="314"/>
        <v>1.8103277639258615E-11</v>
      </c>
      <c r="G844" s="4">
        <f t="shared" si="314"/>
        <v>1.8103277639258615E-11</v>
      </c>
      <c r="H844" s="4">
        <f t="shared" si="314"/>
        <v>1.8103277639258615E-11</v>
      </c>
      <c r="I844" s="4">
        <f t="shared" si="314"/>
        <v>1.8103277639258615E-11</v>
      </c>
      <c r="J844" s="4">
        <f t="shared" si="314"/>
        <v>1.8103277639258615E-11</v>
      </c>
      <c r="K844" s="4">
        <f t="shared" si="314"/>
        <v>1.8103277639258615E-11</v>
      </c>
      <c r="L844" s="4">
        <f t="shared" si="314"/>
        <v>1.8103277639258615E-11</v>
      </c>
      <c r="M844" s="4">
        <f t="shared" si="314"/>
        <v>1.8103277639258615E-11</v>
      </c>
      <c r="N844" t="s">
        <v>256</v>
      </c>
      <c r="O844" t="s">
        <v>323</v>
      </c>
      <c r="P844" t="s">
        <v>324</v>
      </c>
      <c r="Q844" t="s">
        <v>245</v>
      </c>
    </row>
    <row r="845" spans="1:17" x14ac:dyDescent="0.25">
      <c r="A845" t="s">
        <v>324</v>
      </c>
      <c r="B845" t="s">
        <v>99</v>
      </c>
      <c r="C845" s="4">
        <f t="shared" ref="C845:M845" si="315">0.000343246436607167 * 1.00276541653552%</f>
        <v>3.4419565597871878E-6</v>
      </c>
      <c r="D845" s="4">
        <f t="shared" si="315"/>
        <v>3.4419565597871878E-6</v>
      </c>
      <c r="E845" s="4">
        <f t="shared" si="315"/>
        <v>3.4419565597871878E-6</v>
      </c>
      <c r="F845" s="4">
        <f t="shared" si="315"/>
        <v>3.4419565597871878E-6</v>
      </c>
      <c r="G845" s="4">
        <f t="shared" si="315"/>
        <v>3.4419565597871878E-6</v>
      </c>
      <c r="H845" s="4">
        <f t="shared" si="315"/>
        <v>3.4419565597871878E-6</v>
      </c>
      <c r="I845" s="4">
        <f t="shared" si="315"/>
        <v>3.4419565597871878E-6</v>
      </c>
      <c r="J845" s="4">
        <f t="shared" si="315"/>
        <v>3.4419565597871878E-6</v>
      </c>
      <c r="K845" s="4">
        <f t="shared" si="315"/>
        <v>3.4419565597871878E-6</v>
      </c>
      <c r="L845" s="4">
        <f t="shared" si="315"/>
        <v>3.4419565597871878E-6</v>
      </c>
      <c r="M845" s="4">
        <f t="shared" si="315"/>
        <v>3.4419565597871878E-6</v>
      </c>
      <c r="N845" t="s">
        <v>256</v>
      </c>
      <c r="O845" t="s">
        <v>280</v>
      </c>
      <c r="P845" t="s">
        <v>324</v>
      </c>
      <c r="Q845" t="s">
        <v>245</v>
      </c>
    </row>
    <row r="846" spans="1:17" x14ac:dyDescent="0.25">
      <c r="A846" t="s">
        <v>324</v>
      </c>
      <c r="B846" t="s">
        <v>182</v>
      </c>
      <c r="C846" s="4">
        <f t="shared" ref="C846:M846" si="316">0.212937718373242 * 0.0462571787102057%</f>
        <v>9.8498980929345067E-5</v>
      </c>
      <c r="D846" s="4">
        <f t="shared" si="316"/>
        <v>9.8498980929345067E-5</v>
      </c>
      <c r="E846" s="4">
        <f t="shared" si="316"/>
        <v>9.8498980929345067E-5</v>
      </c>
      <c r="F846" s="4">
        <f t="shared" si="316"/>
        <v>9.8498980929345067E-5</v>
      </c>
      <c r="G846" s="4">
        <f t="shared" si="316"/>
        <v>9.8498980929345067E-5</v>
      </c>
      <c r="H846" s="4">
        <f t="shared" si="316"/>
        <v>9.8498980929345067E-5</v>
      </c>
      <c r="I846" s="4">
        <f t="shared" si="316"/>
        <v>9.8498980929345067E-5</v>
      </c>
      <c r="J846" s="4">
        <f t="shared" si="316"/>
        <v>9.8498980929345067E-5</v>
      </c>
      <c r="K846" s="4">
        <f t="shared" si="316"/>
        <v>9.8498980929345067E-5</v>
      </c>
      <c r="L846" s="4">
        <f t="shared" si="316"/>
        <v>9.8498980929345067E-5</v>
      </c>
      <c r="M846" s="4">
        <f t="shared" si="316"/>
        <v>9.8498980929345067E-5</v>
      </c>
      <c r="N846" t="s">
        <v>242</v>
      </c>
      <c r="O846" t="s">
        <v>327</v>
      </c>
      <c r="P846" t="s">
        <v>324</v>
      </c>
      <c r="Q846" t="s">
        <v>245</v>
      </c>
    </row>
    <row r="847" spans="1:17" x14ac:dyDescent="0.25">
      <c r="A847" t="s">
        <v>324</v>
      </c>
      <c r="B847" t="s">
        <v>182</v>
      </c>
      <c r="C847" s="4">
        <f t="shared" ref="C847:M847" si="317">0.755584923910716 * 0.0462571787102057%</f>
        <v>3.4951226856075166E-4</v>
      </c>
      <c r="D847" s="4">
        <f t="shared" si="317"/>
        <v>3.4951226856075166E-4</v>
      </c>
      <c r="E847" s="4">
        <f t="shared" si="317"/>
        <v>3.4951226856075166E-4</v>
      </c>
      <c r="F847" s="4">
        <f t="shared" si="317"/>
        <v>3.4951226856075166E-4</v>
      </c>
      <c r="G847" s="4">
        <f t="shared" si="317"/>
        <v>3.4951226856075166E-4</v>
      </c>
      <c r="H847" s="4">
        <f t="shared" si="317"/>
        <v>3.4951226856075166E-4</v>
      </c>
      <c r="I847" s="4">
        <f t="shared" si="317"/>
        <v>3.4951226856075166E-4</v>
      </c>
      <c r="J847" s="4">
        <f t="shared" si="317"/>
        <v>3.4951226856075166E-4</v>
      </c>
      <c r="K847" s="4">
        <f t="shared" si="317"/>
        <v>3.4951226856075166E-4</v>
      </c>
      <c r="L847" s="4">
        <f t="shared" si="317"/>
        <v>3.4951226856075166E-4</v>
      </c>
      <c r="M847" s="4">
        <f t="shared" si="317"/>
        <v>3.4951226856075166E-4</v>
      </c>
      <c r="N847" t="s">
        <v>242</v>
      </c>
      <c r="O847" t="s">
        <v>326</v>
      </c>
      <c r="P847" t="s">
        <v>324</v>
      </c>
      <c r="Q847" t="s">
        <v>245</v>
      </c>
    </row>
    <row r="848" spans="1:17" x14ac:dyDescent="0.25">
      <c r="A848" t="s">
        <v>324</v>
      </c>
      <c r="B848" t="s">
        <v>182</v>
      </c>
      <c r="C848" s="4">
        <f t="shared" ref="C848:M848" si="318">0.00154025450133466 * 0.0462571787102057%</f>
        <v>7.1247827727436142E-7</v>
      </c>
      <c r="D848" s="4">
        <f t="shared" si="318"/>
        <v>7.1247827727436142E-7</v>
      </c>
      <c r="E848" s="4">
        <f t="shared" si="318"/>
        <v>7.1247827727436142E-7</v>
      </c>
      <c r="F848" s="4">
        <f t="shared" si="318"/>
        <v>7.1247827727436142E-7</v>
      </c>
      <c r="G848" s="4">
        <f t="shared" si="318"/>
        <v>7.1247827727436142E-7</v>
      </c>
      <c r="H848" s="4">
        <f t="shared" si="318"/>
        <v>7.1247827727436142E-7</v>
      </c>
      <c r="I848" s="4">
        <f t="shared" si="318"/>
        <v>7.1247827727436142E-7</v>
      </c>
      <c r="J848" s="4">
        <f t="shared" si="318"/>
        <v>7.1247827727436142E-7</v>
      </c>
      <c r="K848" s="4">
        <f t="shared" si="318"/>
        <v>7.1247827727436142E-7</v>
      </c>
      <c r="L848" s="4">
        <f t="shared" si="318"/>
        <v>7.1247827727436142E-7</v>
      </c>
      <c r="M848" s="4">
        <f t="shared" si="318"/>
        <v>7.1247827727436142E-7</v>
      </c>
      <c r="N848" t="s">
        <v>242</v>
      </c>
      <c r="O848" t="s">
        <v>289</v>
      </c>
      <c r="P848" t="s">
        <v>324</v>
      </c>
      <c r="Q848" t="s">
        <v>245</v>
      </c>
    </row>
    <row r="849" spans="1:17" x14ac:dyDescent="0.25">
      <c r="A849" t="s">
        <v>324</v>
      </c>
      <c r="B849" t="s">
        <v>182</v>
      </c>
      <c r="C849" s="4">
        <f t="shared" ref="C849:M849" si="319">4.63438553364394E-10 * 0.0462571787102057%</f>
        <v>2.1437359984175976E-13</v>
      </c>
      <c r="D849" s="4">
        <f t="shared" si="319"/>
        <v>2.1437359984175976E-13</v>
      </c>
      <c r="E849" s="4">
        <f t="shared" si="319"/>
        <v>2.1437359984175976E-13</v>
      </c>
      <c r="F849" s="4">
        <f t="shared" si="319"/>
        <v>2.1437359984175976E-13</v>
      </c>
      <c r="G849" s="4">
        <f t="shared" si="319"/>
        <v>2.1437359984175976E-13</v>
      </c>
      <c r="H849" s="4">
        <f t="shared" si="319"/>
        <v>2.1437359984175976E-13</v>
      </c>
      <c r="I849" s="4">
        <f t="shared" si="319"/>
        <v>2.1437359984175976E-13</v>
      </c>
      <c r="J849" s="4">
        <f t="shared" si="319"/>
        <v>2.1437359984175976E-13</v>
      </c>
      <c r="K849" s="4">
        <f t="shared" si="319"/>
        <v>2.1437359984175976E-13</v>
      </c>
      <c r="L849" s="4">
        <f t="shared" si="319"/>
        <v>2.1437359984175976E-13</v>
      </c>
      <c r="M849" s="4">
        <f t="shared" si="319"/>
        <v>2.1437359984175976E-13</v>
      </c>
      <c r="N849" t="s">
        <v>256</v>
      </c>
      <c r="O849" t="s">
        <v>322</v>
      </c>
      <c r="P849" t="s">
        <v>324</v>
      </c>
      <c r="Q849" t="s">
        <v>245</v>
      </c>
    </row>
    <row r="850" spans="1:17" x14ac:dyDescent="0.25">
      <c r="A850" t="s">
        <v>324</v>
      </c>
      <c r="B850" t="s">
        <v>182</v>
      </c>
      <c r="C850" s="4">
        <f t="shared" ref="C850:M850" si="320">1.80533525994585E-09 * 0.0462571787102057%</f>
        <v>8.3509715751150851E-13</v>
      </c>
      <c r="D850" s="4">
        <f t="shared" si="320"/>
        <v>8.3509715751150851E-13</v>
      </c>
      <c r="E850" s="4">
        <f t="shared" si="320"/>
        <v>8.3509715751150851E-13</v>
      </c>
      <c r="F850" s="4">
        <f t="shared" si="320"/>
        <v>8.3509715751150851E-13</v>
      </c>
      <c r="G850" s="4">
        <f t="shared" si="320"/>
        <v>8.3509715751150851E-13</v>
      </c>
      <c r="H850" s="4">
        <f t="shared" si="320"/>
        <v>8.3509715751150851E-13</v>
      </c>
      <c r="I850" s="4">
        <f t="shared" si="320"/>
        <v>8.3509715751150851E-13</v>
      </c>
      <c r="J850" s="4">
        <f t="shared" si="320"/>
        <v>8.3509715751150851E-13</v>
      </c>
      <c r="K850" s="4">
        <f t="shared" si="320"/>
        <v>8.3509715751150851E-13</v>
      </c>
      <c r="L850" s="4">
        <f t="shared" si="320"/>
        <v>8.3509715751150851E-13</v>
      </c>
      <c r="M850" s="4">
        <f t="shared" si="320"/>
        <v>8.3509715751150851E-13</v>
      </c>
      <c r="N850" t="s">
        <v>256</v>
      </c>
      <c r="O850" t="s">
        <v>323</v>
      </c>
      <c r="P850" t="s">
        <v>324</v>
      </c>
      <c r="Q850" t="s">
        <v>245</v>
      </c>
    </row>
    <row r="851" spans="1:17" x14ac:dyDescent="0.25">
      <c r="A851" t="s">
        <v>324</v>
      </c>
      <c r="B851" t="s">
        <v>182</v>
      </c>
      <c r="C851" s="4">
        <f t="shared" ref="C851:M851" si="321">0.000343246436607167 * 0.0462571787102057%</f>
        <v>1.5877611759779016E-7</v>
      </c>
      <c r="D851" s="4">
        <f t="shared" si="321"/>
        <v>1.5877611759779016E-7</v>
      </c>
      <c r="E851" s="4">
        <f t="shared" si="321"/>
        <v>1.5877611759779016E-7</v>
      </c>
      <c r="F851" s="4">
        <f t="shared" si="321"/>
        <v>1.5877611759779016E-7</v>
      </c>
      <c r="G851" s="4">
        <f t="shared" si="321"/>
        <v>1.5877611759779016E-7</v>
      </c>
      <c r="H851" s="4">
        <f t="shared" si="321"/>
        <v>1.5877611759779016E-7</v>
      </c>
      <c r="I851" s="4">
        <f t="shared" si="321"/>
        <v>1.5877611759779016E-7</v>
      </c>
      <c r="J851" s="4">
        <f t="shared" si="321"/>
        <v>1.5877611759779016E-7</v>
      </c>
      <c r="K851" s="4">
        <f t="shared" si="321"/>
        <v>1.5877611759779016E-7</v>
      </c>
      <c r="L851" s="4">
        <f t="shared" si="321"/>
        <v>1.5877611759779016E-7</v>
      </c>
      <c r="M851" s="4">
        <f t="shared" si="321"/>
        <v>1.5877611759779016E-7</v>
      </c>
      <c r="N851" t="s">
        <v>256</v>
      </c>
      <c r="O851" t="s">
        <v>280</v>
      </c>
      <c r="P851" t="s">
        <v>324</v>
      </c>
      <c r="Q851" t="s">
        <v>245</v>
      </c>
    </row>
    <row r="852" spans="1:17" x14ac:dyDescent="0.25">
      <c r="A852" t="s">
        <v>324</v>
      </c>
      <c r="B852" t="s">
        <v>119</v>
      </c>
      <c r="C852" s="4">
        <f t="shared" ref="C852:M852" si="322">0.212937718373242 * 6.29452432861457%</f>
        <v>1.3403416487800494E-2</v>
      </c>
      <c r="D852" s="4">
        <f t="shared" si="322"/>
        <v>1.3403416487800494E-2</v>
      </c>
      <c r="E852" s="4">
        <f t="shared" si="322"/>
        <v>1.3403416487800494E-2</v>
      </c>
      <c r="F852" s="4">
        <f t="shared" si="322"/>
        <v>1.3403416487800494E-2</v>
      </c>
      <c r="G852" s="4">
        <f t="shared" si="322"/>
        <v>1.3403416487800494E-2</v>
      </c>
      <c r="H852" s="4">
        <f t="shared" si="322"/>
        <v>1.3403416487800494E-2</v>
      </c>
      <c r="I852" s="4">
        <f t="shared" si="322"/>
        <v>1.3403416487800494E-2</v>
      </c>
      <c r="J852" s="4">
        <f t="shared" si="322"/>
        <v>1.3403416487800494E-2</v>
      </c>
      <c r="K852" s="4">
        <f t="shared" si="322"/>
        <v>1.3403416487800494E-2</v>
      </c>
      <c r="L852" s="4">
        <f t="shared" si="322"/>
        <v>1.3403416487800494E-2</v>
      </c>
      <c r="M852" s="4">
        <f t="shared" si="322"/>
        <v>1.3403416487800494E-2</v>
      </c>
      <c r="N852" t="s">
        <v>242</v>
      </c>
      <c r="O852" t="s">
        <v>327</v>
      </c>
      <c r="P852" t="s">
        <v>324</v>
      </c>
      <c r="Q852" t="s">
        <v>245</v>
      </c>
    </row>
    <row r="853" spans="1:17" x14ac:dyDescent="0.25">
      <c r="A853" t="s">
        <v>324</v>
      </c>
      <c r="B853" t="s">
        <v>119</v>
      </c>
      <c r="C853" s="4">
        <f t="shared" ref="C853:M853" si="323">0.755584923910716 * 6.29452432861457%</f>
        <v>4.7560476858903904E-2</v>
      </c>
      <c r="D853" s="4">
        <f t="shared" si="323"/>
        <v>4.7560476858903904E-2</v>
      </c>
      <c r="E853" s="4">
        <f t="shared" si="323"/>
        <v>4.7560476858903904E-2</v>
      </c>
      <c r="F853" s="4">
        <f t="shared" si="323"/>
        <v>4.7560476858903904E-2</v>
      </c>
      <c r="G853" s="4">
        <f t="shared" si="323"/>
        <v>4.7560476858903904E-2</v>
      </c>
      <c r="H853" s="4">
        <f t="shared" si="323"/>
        <v>4.7560476858903904E-2</v>
      </c>
      <c r="I853" s="4">
        <f t="shared" si="323"/>
        <v>4.7560476858903904E-2</v>
      </c>
      <c r="J853" s="4">
        <f t="shared" si="323"/>
        <v>4.7560476858903904E-2</v>
      </c>
      <c r="K853" s="4">
        <f t="shared" si="323"/>
        <v>4.7560476858903904E-2</v>
      </c>
      <c r="L853" s="4">
        <f t="shared" si="323"/>
        <v>4.7560476858903904E-2</v>
      </c>
      <c r="M853" s="4">
        <f t="shared" si="323"/>
        <v>4.7560476858903904E-2</v>
      </c>
      <c r="N853" t="s">
        <v>242</v>
      </c>
      <c r="O853" t="s">
        <v>326</v>
      </c>
      <c r="P853" t="s">
        <v>324</v>
      </c>
      <c r="Q853" t="s">
        <v>245</v>
      </c>
    </row>
    <row r="854" spans="1:17" x14ac:dyDescent="0.25">
      <c r="A854" t="s">
        <v>324</v>
      </c>
      <c r="B854" t="s">
        <v>119</v>
      </c>
      <c r="C854" s="4">
        <f t="shared" ref="C854:M854" si="324">0.00154025450133466 * 6.29452432861457%</f>
        <v>9.6951694309091205E-5</v>
      </c>
      <c r="D854" s="4">
        <f t="shared" si="324"/>
        <v>9.6951694309091205E-5</v>
      </c>
      <c r="E854" s="4">
        <f t="shared" si="324"/>
        <v>9.6951694309091205E-5</v>
      </c>
      <c r="F854" s="4">
        <f t="shared" si="324"/>
        <v>9.6951694309091205E-5</v>
      </c>
      <c r="G854" s="4">
        <f t="shared" si="324"/>
        <v>9.6951694309091205E-5</v>
      </c>
      <c r="H854" s="4">
        <f t="shared" si="324"/>
        <v>9.6951694309091205E-5</v>
      </c>
      <c r="I854" s="4">
        <f t="shared" si="324"/>
        <v>9.6951694309091205E-5</v>
      </c>
      <c r="J854" s="4">
        <f t="shared" si="324"/>
        <v>9.6951694309091205E-5</v>
      </c>
      <c r="K854" s="4">
        <f t="shared" si="324"/>
        <v>9.6951694309091205E-5</v>
      </c>
      <c r="L854" s="4">
        <f t="shared" si="324"/>
        <v>9.6951694309091205E-5</v>
      </c>
      <c r="M854" s="4">
        <f t="shared" si="324"/>
        <v>9.6951694309091205E-5</v>
      </c>
      <c r="N854" t="s">
        <v>242</v>
      </c>
      <c r="O854" t="s">
        <v>289</v>
      </c>
      <c r="P854" t="s">
        <v>324</v>
      </c>
      <c r="Q854" t="s">
        <v>245</v>
      </c>
    </row>
    <row r="855" spans="1:17" x14ac:dyDescent="0.25">
      <c r="A855" t="s">
        <v>324</v>
      </c>
      <c r="B855" t="s">
        <v>119</v>
      </c>
      <c r="C855" s="4">
        <f t="shared" ref="C855:M855" si="325">4.63438553364394E-10 * 6.29452432861457%</f>
        <v>2.9171252489701198E-11</v>
      </c>
      <c r="D855" s="4">
        <f t="shared" si="325"/>
        <v>2.9171252489701198E-11</v>
      </c>
      <c r="E855" s="4">
        <f t="shared" si="325"/>
        <v>2.9171252489701198E-11</v>
      </c>
      <c r="F855" s="4">
        <f t="shared" si="325"/>
        <v>2.9171252489701198E-11</v>
      </c>
      <c r="G855" s="4">
        <f t="shared" si="325"/>
        <v>2.9171252489701198E-11</v>
      </c>
      <c r="H855" s="4">
        <f t="shared" si="325"/>
        <v>2.9171252489701198E-11</v>
      </c>
      <c r="I855" s="4">
        <f t="shared" si="325"/>
        <v>2.9171252489701198E-11</v>
      </c>
      <c r="J855" s="4">
        <f t="shared" si="325"/>
        <v>2.9171252489701198E-11</v>
      </c>
      <c r="K855" s="4">
        <f t="shared" si="325"/>
        <v>2.9171252489701198E-11</v>
      </c>
      <c r="L855" s="4">
        <f t="shared" si="325"/>
        <v>2.9171252489701198E-11</v>
      </c>
      <c r="M855" s="4">
        <f t="shared" si="325"/>
        <v>2.9171252489701198E-11</v>
      </c>
      <c r="N855" t="s">
        <v>256</v>
      </c>
      <c r="O855" t="s">
        <v>322</v>
      </c>
      <c r="P855" t="s">
        <v>324</v>
      </c>
      <c r="Q855" t="s">
        <v>245</v>
      </c>
    </row>
    <row r="856" spans="1:17" x14ac:dyDescent="0.25">
      <c r="A856" t="s">
        <v>324</v>
      </c>
      <c r="B856" t="s">
        <v>119</v>
      </c>
      <c r="C856" s="4">
        <f t="shared" ref="C856:M856" si="326">1.80533525994585E-09 * 6.29452432861457%</f>
        <v>1.1363726715034862E-10</v>
      </c>
      <c r="D856" s="4">
        <f t="shared" si="326"/>
        <v>1.1363726715034862E-10</v>
      </c>
      <c r="E856" s="4">
        <f t="shared" si="326"/>
        <v>1.1363726715034862E-10</v>
      </c>
      <c r="F856" s="4">
        <f t="shared" si="326"/>
        <v>1.1363726715034862E-10</v>
      </c>
      <c r="G856" s="4">
        <f t="shared" si="326"/>
        <v>1.1363726715034862E-10</v>
      </c>
      <c r="H856" s="4">
        <f t="shared" si="326"/>
        <v>1.1363726715034862E-10</v>
      </c>
      <c r="I856" s="4">
        <f t="shared" si="326"/>
        <v>1.1363726715034862E-10</v>
      </c>
      <c r="J856" s="4">
        <f t="shared" si="326"/>
        <v>1.1363726715034862E-10</v>
      </c>
      <c r="K856" s="4">
        <f t="shared" si="326"/>
        <v>1.1363726715034862E-10</v>
      </c>
      <c r="L856" s="4">
        <f t="shared" si="326"/>
        <v>1.1363726715034862E-10</v>
      </c>
      <c r="M856" s="4">
        <f t="shared" si="326"/>
        <v>1.1363726715034862E-10</v>
      </c>
      <c r="N856" t="s">
        <v>256</v>
      </c>
      <c r="O856" t="s">
        <v>323</v>
      </c>
      <c r="P856" t="s">
        <v>324</v>
      </c>
      <c r="Q856" t="s">
        <v>245</v>
      </c>
    </row>
    <row r="857" spans="1:17" x14ac:dyDescent="0.25">
      <c r="A857" t="s">
        <v>324</v>
      </c>
      <c r="B857" t="s">
        <v>119</v>
      </c>
      <c r="C857" s="4">
        <f t="shared" ref="C857:M857" si="327">0.000343246436607167 * 6.29452432861457%</f>
        <v>2.1605730459340713E-5</v>
      </c>
      <c r="D857" s="4">
        <f t="shared" si="327"/>
        <v>2.1605730459340713E-5</v>
      </c>
      <c r="E857" s="4">
        <f t="shared" si="327"/>
        <v>2.1605730459340713E-5</v>
      </c>
      <c r="F857" s="4">
        <f t="shared" si="327"/>
        <v>2.1605730459340713E-5</v>
      </c>
      <c r="G857" s="4">
        <f t="shared" si="327"/>
        <v>2.1605730459340713E-5</v>
      </c>
      <c r="H857" s="4">
        <f t="shared" si="327"/>
        <v>2.1605730459340713E-5</v>
      </c>
      <c r="I857" s="4">
        <f t="shared" si="327"/>
        <v>2.1605730459340713E-5</v>
      </c>
      <c r="J857" s="4">
        <f t="shared" si="327"/>
        <v>2.1605730459340713E-5</v>
      </c>
      <c r="K857" s="4">
        <f t="shared" si="327"/>
        <v>2.1605730459340713E-5</v>
      </c>
      <c r="L857" s="4">
        <f t="shared" si="327"/>
        <v>2.1605730459340713E-5</v>
      </c>
      <c r="M857" s="4">
        <f t="shared" si="327"/>
        <v>2.1605730459340713E-5</v>
      </c>
      <c r="N857" t="s">
        <v>256</v>
      </c>
      <c r="O857" t="s">
        <v>280</v>
      </c>
      <c r="P857" t="s">
        <v>324</v>
      </c>
      <c r="Q857" t="s">
        <v>245</v>
      </c>
    </row>
    <row r="858" spans="1:17" x14ac:dyDescent="0.25">
      <c r="A858" t="s">
        <v>324</v>
      </c>
      <c r="B858" t="s">
        <v>102</v>
      </c>
      <c r="C858" s="4">
        <f t="shared" ref="C858:M858" si="328">0.212937718373242 * 1.81709680252091%</f>
        <v>3.8692844719211607E-3</v>
      </c>
      <c r="D858" s="4">
        <f t="shared" si="328"/>
        <v>3.8692844719211607E-3</v>
      </c>
      <c r="E858" s="4">
        <f t="shared" si="328"/>
        <v>3.8692844719211607E-3</v>
      </c>
      <c r="F858" s="4">
        <f t="shared" si="328"/>
        <v>3.8692844719211607E-3</v>
      </c>
      <c r="G858" s="4">
        <f t="shared" si="328"/>
        <v>3.8692844719211607E-3</v>
      </c>
      <c r="H858" s="4">
        <f t="shared" si="328"/>
        <v>3.8692844719211607E-3</v>
      </c>
      <c r="I858" s="4">
        <f t="shared" si="328"/>
        <v>3.8692844719211607E-3</v>
      </c>
      <c r="J858" s="4">
        <f t="shared" si="328"/>
        <v>3.8692844719211607E-3</v>
      </c>
      <c r="K858" s="4">
        <f t="shared" si="328"/>
        <v>3.8692844719211607E-3</v>
      </c>
      <c r="L858" s="4">
        <f t="shared" si="328"/>
        <v>3.8692844719211607E-3</v>
      </c>
      <c r="M858" s="4">
        <f t="shared" si="328"/>
        <v>3.8692844719211607E-3</v>
      </c>
      <c r="N858" t="s">
        <v>242</v>
      </c>
      <c r="O858" t="s">
        <v>327</v>
      </c>
      <c r="P858" t="s">
        <v>324</v>
      </c>
      <c r="Q858" t="s">
        <v>245</v>
      </c>
    </row>
    <row r="859" spans="1:17" x14ac:dyDescent="0.25">
      <c r="A859" t="s">
        <v>324</v>
      </c>
      <c r="B859" t="s">
        <v>102</v>
      </c>
      <c r="C859" s="4">
        <f t="shared" ref="C859:M859" si="329">0.755584923910716 * 1.81709680252091%</f>
        <v>1.3729709492711671E-2</v>
      </c>
      <c r="D859" s="4">
        <f t="shared" si="329"/>
        <v>1.3729709492711671E-2</v>
      </c>
      <c r="E859" s="4">
        <f t="shared" si="329"/>
        <v>1.3729709492711671E-2</v>
      </c>
      <c r="F859" s="4">
        <f t="shared" si="329"/>
        <v>1.3729709492711671E-2</v>
      </c>
      <c r="G859" s="4">
        <f t="shared" si="329"/>
        <v>1.3729709492711671E-2</v>
      </c>
      <c r="H859" s="4">
        <f t="shared" si="329"/>
        <v>1.3729709492711671E-2</v>
      </c>
      <c r="I859" s="4">
        <f t="shared" si="329"/>
        <v>1.3729709492711671E-2</v>
      </c>
      <c r="J859" s="4">
        <f t="shared" si="329"/>
        <v>1.3729709492711671E-2</v>
      </c>
      <c r="K859" s="4">
        <f t="shared" si="329"/>
        <v>1.3729709492711671E-2</v>
      </c>
      <c r="L859" s="4">
        <f t="shared" si="329"/>
        <v>1.3729709492711671E-2</v>
      </c>
      <c r="M859" s="4">
        <f t="shared" si="329"/>
        <v>1.3729709492711671E-2</v>
      </c>
      <c r="N859" t="s">
        <v>242</v>
      </c>
      <c r="O859" t="s">
        <v>326</v>
      </c>
      <c r="P859" t="s">
        <v>324</v>
      </c>
      <c r="Q859" t="s">
        <v>245</v>
      </c>
    </row>
    <row r="860" spans="1:17" x14ac:dyDescent="0.25">
      <c r="A860" t="s">
        <v>324</v>
      </c>
      <c r="B860" t="s">
        <v>102</v>
      </c>
      <c r="C860" s="4">
        <f t="shared" ref="C860:M860" si="330">0.00154025450133466 * 1.81709680252091%</f>
        <v>2.7987915294436497E-5</v>
      </c>
      <c r="D860" s="4">
        <f t="shared" si="330"/>
        <v>2.7987915294436497E-5</v>
      </c>
      <c r="E860" s="4">
        <f t="shared" si="330"/>
        <v>2.7987915294436497E-5</v>
      </c>
      <c r="F860" s="4">
        <f t="shared" si="330"/>
        <v>2.7987915294436497E-5</v>
      </c>
      <c r="G860" s="4">
        <f t="shared" si="330"/>
        <v>2.7987915294436497E-5</v>
      </c>
      <c r="H860" s="4">
        <f t="shared" si="330"/>
        <v>2.7987915294436497E-5</v>
      </c>
      <c r="I860" s="4">
        <f t="shared" si="330"/>
        <v>2.7987915294436497E-5</v>
      </c>
      <c r="J860" s="4">
        <f t="shared" si="330"/>
        <v>2.7987915294436497E-5</v>
      </c>
      <c r="K860" s="4">
        <f t="shared" si="330"/>
        <v>2.7987915294436497E-5</v>
      </c>
      <c r="L860" s="4">
        <f t="shared" si="330"/>
        <v>2.7987915294436497E-5</v>
      </c>
      <c r="M860" s="4">
        <f t="shared" si="330"/>
        <v>2.7987915294436497E-5</v>
      </c>
      <c r="N860" t="s">
        <v>242</v>
      </c>
      <c r="O860" t="s">
        <v>289</v>
      </c>
      <c r="P860" t="s">
        <v>324</v>
      </c>
      <c r="Q860" t="s">
        <v>245</v>
      </c>
    </row>
    <row r="861" spans="1:17" x14ac:dyDescent="0.25">
      <c r="A861" t="s">
        <v>324</v>
      </c>
      <c r="B861" t="s">
        <v>102</v>
      </c>
      <c r="C861" s="4">
        <f t="shared" ref="C861:M861" si="331">4.63438553364394E-10 * 1.81709680252091%</f>
        <v>8.4211271348335656E-12</v>
      </c>
      <c r="D861" s="4">
        <f t="shared" si="331"/>
        <v>8.4211271348335656E-12</v>
      </c>
      <c r="E861" s="4">
        <f t="shared" si="331"/>
        <v>8.4211271348335656E-12</v>
      </c>
      <c r="F861" s="4">
        <f t="shared" si="331"/>
        <v>8.4211271348335656E-12</v>
      </c>
      <c r="G861" s="4">
        <f t="shared" si="331"/>
        <v>8.4211271348335656E-12</v>
      </c>
      <c r="H861" s="4">
        <f t="shared" si="331"/>
        <v>8.4211271348335656E-12</v>
      </c>
      <c r="I861" s="4">
        <f t="shared" si="331"/>
        <v>8.4211271348335656E-12</v>
      </c>
      <c r="J861" s="4">
        <f t="shared" si="331"/>
        <v>8.4211271348335656E-12</v>
      </c>
      <c r="K861" s="4">
        <f t="shared" si="331"/>
        <v>8.4211271348335656E-12</v>
      </c>
      <c r="L861" s="4">
        <f t="shared" si="331"/>
        <v>8.4211271348335656E-12</v>
      </c>
      <c r="M861" s="4">
        <f t="shared" si="331"/>
        <v>8.4211271348335656E-12</v>
      </c>
      <c r="N861" t="s">
        <v>256</v>
      </c>
      <c r="O861" t="s">
        <v>322</v>
      </c>
      <c r="P861" t="s">
        <v>324</v>
      </c>
      <c r="Q861" t="s">
        <v>245</v>
      </c>
    </row>
    <row r="862" spans="1:17" x14ac:dyDescent="0.25">
      <c r="A862" t="s">
        <v>324</v>
      </c>
      <c r="B862" t="s">
        <v>102</v>
      </c>
      <c r="C862" s="4">
        <f t="shared" ref="C862:M862" si="332">1.80533525994585E-09 * 1.81709680252091%</f>
        <v>3.2804689283258603E-11</v>
      </c>
      <c r="D862" s="4">
        <f t="shared" si="332"/>
        <v>3.2804689283258603E-11</v>
      </c>
      <c r="E862" s="4">
        <f t="shared" si="332"/>
        <v>3.2804689283258603E-11</v>
      </c>
      <c r="F862" s="4">
        <f t="shared" si="332"/>
        <v>3.2804689283258603E-11</v>
      </c>
      <c r="G862" s="4">
        <f t="shared" si="332"/>
        <v>3.2804689283258603E-11</v>
      </c>
      <c r="H862" s="4">
        <f t="shared" si="332"/>
        <v>3.2804689283258603E-11</v>
      </c>
      <c r="I862" s="4">
        <f t="shared" si="332"/>
        <v>3.2804689283258603E-11</v>
      </c>
      <c r="J862" s="4">
        <f t="shared" si="332"/>
        <v>3.2804689283258603E-11</v>
      </c>
      <c r="K862" s="4">
        <f t="shared" si="332"/>
        <v>3.2804689283258603E-11</v>
      </c>
      <c r="L862" s="4">
        <f t="shared" si="332"/>
        <v>3.2804689283258603E-11</v>
      </c>
      <c r="M862" s="4">
        <f t="shared" si="332"/>
        <v>3.2804689283258603E-11</v>
      </c>
      <c r="N862" t="s">
        <v>256</v>
      </c>
      <c r="O862" t="s">
        <v>323</v>
      </c>
      <c r="P862" t="s">
        <v>324</v>
      </c>
      <c r="Q862" t="s">
        <v>245</v>
      </c>
    </row>
    <row r="863" spans="1:17" x14ac:dyDescent="0.25">
      <c r="A863" t="s">
        <v>324</v>
      </c>
      <c r="B863" t="s">
        <v>102</v>
      </c>
      <c r="C863" s="4">
        <f t="shared" ref="C863:M863" si="333">0.000343246436607167 * 1.81709680252091%</f>
        <v>6.2371200243557943E-6</v>
      </c>
      <c r="D863" s="4">
        <f t="shared" si="333"/>
        <v>6.2371200243557943E-6</v>
      </c>
      <c r="E863" s="4">
        <f t="shared" si="333"/>
        <v>6.2371200243557943E-6</v>
      </c>
      <c r="F863" s="4">
        <f t="shared" si="333"/>
        <v>6.2371200243557943E-6</v>
      </c>
      <c r="G863" s="4">
        <f t="shared" si="333"/>
        <v>6.2371200243557943E-6</v>
      </c>
      <c r="H863" s="4">
        <f t="shared" si="333"/>
        <v>6.2371200243557943E-6</v>
      </c>
      <c r="I863" s="4">
        <f t="shared" si="333"/>
        <v>6.2371200243557943E-6</v>
      </c>
      <c r="J863" s="4">
        <f t="shared" si="333"/>
        <v>6.2371200243557943E-6</v>
      </c>
      <c r="K863" s="4">
        <f t="shared" si="333"/>
        <v>6.2371200243557943E-6</v>
      </c>
      <c r="L863" s="4">
        <f t="shared" si="333"/>
        <v>6.2371200243557943E-6</v>
      </c>
      <c r="M863" s="4">
        <f t="shared" si="333"/>
        <v>6.2371200243557943E-6</v>
      </c>
      <c r="N863" t="s">
        <v>256</v>
      </c>
      <c r="O863" t="s">
        <v>280</v>
      </c>
      <c r="P863" t="s">
        <v>324</v>
      </c>
      <c r="Q863" t="s">
        <v>245</v>
      </c>
    </row>
    <row r="864" spans="1:17" x14ac:dyDescent="0.25">
      <c r="A864" t="s">
        <v>324</v>
      </c>
      <c r="B864" t="s">
        <v>148</v>
      </c>
      <c r="C864" s="4">
        <f t="shared" ref="C864:M864" si="334">0.212937718373242 * 2.67817418421139%</f>
        <v>5.7028430019209209E-3</v>
      </c>
      <c r="D864" s="4">
        <f t="shared" si="334"/>
        <v>5.7028430019209209E-3</v>
      </c>
      <c r="E864" s="4">
        <f t="shared" si="334"/>
        <v>5.7028430019209209E-3</v>
      </c>
      <c r="F864" s="4">
        <f t="shared" si="334"/>
        <v>5.7028430019209209E-3</v>
      </c>
      <c r="G864" s="4">
        <f t="shared" si="334"/>
        <v>5.7028430019209209E-3</v>
      </c>
      <c r="H864" s="4">
        <f t="shared" si="334"/>
        <v>5.7028430019209209E-3</v>
      </c>
      <c r="I864" s="4">
        <f t="shared" si="334"/>
        <v>5.7028430019209209E-3</v>
      </c>
      <c r="J864" s="4">
        <f t="shared" si="334"/>
        <v>5.7028430019209209E-3</v>
      </c>
      <c r="K864" s="4">
        <f t="shared" si="334"/>
        <v>5.7028430019209209E-3</v>
      </c>
      <c r="L864" s="4">
        <f t="shared" si="334"/>
        <v>5.7028430019209209E-3</v>
      </c>
      <c r="M864" s="4">
        <f t="shared" si="334"/>
        <v>5.7028430019209209E-3</v>
      </c>
      <c r="N864" t="s">
        <v>242</v>
      </c>
      <c r="O864" t="s">
        <v>327</v>
      </c>
      <c r="P864" t="s">
        <v>324</v>
      </c>
      <c r="Q864" t="s">
        <v>245</v>
      </c>
    </row>
    <row r="865" spans="1:17" x14ac:dyDescent="0.25">
      <c r="A865" t="s">
        <v>324</v>
      </c>
      <c r="B865" t="s">
        <v>148</v>
      </c>
      <c r="C865" s="4">
        <f t="shared" ref="C865:M865" si="335">0.755584923910716 * 2.67817418421139%</f>
        <v>2.0235880371970071E-2</v>
      </c>
      <c r="D865" s="4">
        <f t="shared" si="335"/>
        <v>2.0235880371970071E-2</v>
      </c>
      <c r="E865" s="4">
        <f t="shared" si="335"/>
        <v>2.0235880371970071E-2</v>
      </c>
      <c r="F865" s="4">
        <f t="shared" si="335"/>
        <v>2.0235880371970071E-2</v>
      </c>
      <c r="G865" s="4">
        <f t="shared" si="335"/>
        <v>2.0235880371970071E-2</v>
      </c>
      <c r="H865" s="4">
        <f t="shared" si="335"/>
        <v>2.0235880371970071E-2</v>
      </c>
      <c r="I865" s="4">
        <f t="shared" si="335"/>
        <v>2.0235880371970071E-2</v>
      </c>
      <c r="J865" s="4">
        <f t="shared" si="335"/>
        <v>2.0235880371970071E-2</v>
      </c>
      <c r="K865" s="4">
        <f t="shared" si="335"/>
        <v>2.0235880371970071E-2</v>
      </c>
      <c r="L865" s="4">
        <f t="shared" si="335"/>
        <v>2.0235880371970071E-2</v>
      </c>
      <c r="M865" s="4">
        <f t="shared" si="335"/>
        <v>2.0235880371970071E-2</v>
      </c>
      <c r="N865" t="s">
        <v>242</v>
      </c>
      <c r="O865" t="s">
        <v>326</v>
      </c>
      <c r="P865" t="s">
        <v>324</v>
      </c>
      <c r="Q865" t="s">
        <v>245</v>
      </c>
    </row>
    <row r="866" spans="1:17" x14ac:dyDescent="0.25">
      <c r="A866" t="s">
        <v>324</v>
      </c>
      <c r="B866" t="s">
        <v>148</v>
      </c>
      <c r="C866" s="4">
        <f t="shared" ref="C866:M866" si="336">0.00154025450133466 * 2.67817418421139%</f>
        <v>4.1250698425898746E-5</v>
      </c>
      <c r="D866" s="4">
        <f t="shared" si="336"/>
        <v>4.1250698425898746E-5</v>
      </c>
      <c r="E866" s="4">
        <f t="shared" si="336"/>
        <v>4.1250698425898746E-5</v>
      </c>
      <c r="F866" s="4">
        <f t="shared" si="336"/>
        <v>4.1250698425898746E-5</v>
      </c>
      <c r="G866" s="4">
        <f t="shared" si="336"/>
        <v>4.1250698425898746E-5</v>
      </c>
      <c r="H866" s="4">
        <f t="shared" si="336"/>
        <v>4.1250698425898746E-5</v>
      </c>
      <c r="I866" s="4">
        <f t="shared" si="336"/>
        <v>4.1250698425898746E-5</v>
      </c>
      <c r="J866" s="4">
        <f t="shared" si="336"/>
        <v>4.1250698425898746E-5</v>
      </c>
      <c r="K866" s="4">
        <f t="shared" si="336"/>
        <v>4.1250698425898746E-5</v>
      </c>
      <c r="L866" s="4">
        <f t="shared" si="336"/>
        <v>4.1250698425898746E-5</v>
      </c>
      <c r="M866" s="4">
        <f t="shared" si="336"/>
        <v>4.1250698425898746E-5</v>
      </c>
      <c r="N866" t="s">
        <v>242</v>
      </c>
      <c r="O866" t="s">
        <v>289</v>
      </c>
      <c r="P866" t="s">
        <v>324</v>
      </c>
      <c r="Q866" t="s">
        <v>245</v>
      </c>
    </row>
    <row r="867" spans="1:17" x14ac:dyDescent="0.25">
      <c r="A867" t="s">
        <v>324</v>
      </c>
      <c r="B867" t="s">
        <v>148</v>
      </c>
      <c r="C867" s="4">
        <f t="shared" ref="C867:M867" si="337">4.63438553364394E-10 * 2.67817418421139%</f>
        <v>1.2411691695887927E-11</v>
      </c>
      <c r="D867" s="4">
        <f t="shared" si="337"/>
        <v>1.2411691695887927E-11</v>
      </c>
      <c r="E867" s="4">
        <f t="shared" si="337"/>
        <v>1.2411691695887927E-11</v>
      </c>
      <c r="F867" s="4">
        <f t="shared" si="337"/>
        <v>1.2411691695887927E-11</v>
      </c>
      <c r="G867" s="4">
        <f t="shared" si="337"/>
        <v>1.2411691695887927E-11</v>
      </c>
      <c r="H867" s="4">
        <f t="shared" si="337"/>
        <v>1.2411691695887927E-11</v>
      </c>
      <c r="I867" s="4">
        <f t="shared" si="337"/>
        <v>1.2411691695887927E-11</v>
      </c>
      <c r="J867" s="4">
        <f t="shared" si="337"/>
        <v>1.2411691695887927E-11</v>
      </c>
      <c r="K867" s="4">
        <f t="shared" si="337"/>
        <v>1.2411691695887927E-11</v>
      </c>
      <c r="L867" s="4">
        <f t="shared" si="337"/>
        <v>1.2411691695887927E-11</v>
      </c>
      <c r="M867" s="4">
        <f t="shared" si="337"/>
        <v>1.2411691695887927E-11</v>
      </c>
      <c r="N867" t="s">
        <v>256</v>
      </c>
      <c r="O867" t="s">
        <v>322</v>
      </c>
      <c r="P867" t="s">
        <v>324</v>
      </c>
      <c r="Q867" t="s">
        <v>245</v>
      </c>
    </row>
    <row r="868" spans="1:17" x14ac:dyDescent="0.25">
      <c r="A868" t="s">
        <v>324</v>
      </c>
      <c r="B868" t="s">
        <v>148</v>
      </c>
      <c r="C868" s="4">
        <f t="shared" ref="C868:M868" si="338">1.80533525994585E-09 * 2.67817418421139%</f>
        <v>4.8350022870335342E-11</v>
      </c>
      <c r="D868" s="4">
        <f t="shared" si="338"/>
        <v>4.8350022870335342E-11</v>
      </c>
      <c r="E868" s="4">
        <f t="shared" si="338"/>
        <v>4.8350022870335342E-11</v>
      </c>
      <c r="F868" s="4">
        <f t="shared" si="338"/>
        <v>4.8350022870335342E-11</v>
      </c>
      <c r="G868" s="4">
        <f t="shared" si="338"/>
        <v>4.8350022870335342E-11</v>
      </c>
      <c r="H868" s="4">
        <f t="shared" si="338"/>
        <v>4.8350022870335342E-11</v>
      </c>
      <c r="I868" s="4">
        <f t="shared" si="338"/>
        <v>4.8350022870335342E-11</v>
      </c>
      <c r="J868" s="4">
        <f t="shared" si="338"/>
        <v>4.8350022870335342E-11</v>
      </c>
      <c r="K868" s="4">
        <f t="shared" si="338"/>
        <v>4.8350022870335342E-11</v>
      </c>
      <c r="L868" s="4">
        <f t="shared" si="338"/>
        <v>4.8350022870335342E-11</v>
      </c>
      <c r="M868" s="4">
        <f t="shared" si="338"/>
        <v>4.8350022870335342E-11</v>
      </c>
      <c r="N868" t="s">
        <v>256</v>
      </c>
      <c r="O868" t="s">
        <v>323</v>
      </c>
      <c r="P868" t="s">
        <v>324</v>
      </c>
      <c r="Q868" t="s">
        <v>245</v>
      </c>
    </row>
    <row r="869" spans="1:17" x14ac:dyDescent="0.25">
      <c r="A869" t="s">
        <v>324</v>
      </c>
      <c r="B869" t="s">
        <v>148</v>
      </c>
      <c r="C869" s="4">
        <f t="shared" ref="C869:M869" si="339">0.000343246436607167 * 2.67817418421139%</f>
        <v>9.1927374534386601E-6</v>
      </c>
      <c r="D869" s="4">
        <f t="shared" si="339"/>
        <v>9.1927374534386601E-6</v>
      </c>
      <c r="E869" s="4">
        <f t="shared" si="339"/>
        <v>9.1927374534386601E-6</v>
      </c>
      <c r="F869" s="4">
        <f t="shared" si="339"/>
        <v>9.1927374534386601E-6</v>
      </c>
      <c r="G869" s="4">
        <f t="shared" si="339"/>
        <v>9.1927374534386601E-6</v>
      </c>
      <c r="H869" s="4">
        <f t="shared" si="339"/>
        <v>9.1927374534386601E-6</v>
      </c>
      <c r="I869" s="4">
        <f t="shared" si="339"/>
        <v>9.1927374534386601E-6</v>
      </c>
      <c r="J869" s="4">
        <f t="shared" si="339"/>
        <v>9.1927374534386601E-6</v>
      </c>
      <c r="K869" s="4">
        <f t="shared" si="339"/>
        <v>9.1927374534386601E-6</v>
      </c>
      <c r="L869" s="4">
        <f t="shared" si="339"/>
        <v>9.1927374534386601E-6</v>
      </c>
      <c r="M869" s="4">
        <f t="shared" si="339"/>
        <v>9.1927374534386601E-6</v>
      </c>
      <c r="N869" t="s">
        <v>256</v>
      </c>
      <c r="O869" t="s">
        <v>280</v>
      </c>
      <c r="P869" t="s">
        <v>324</v>
      </c>
      <c r="Q869" t="s">
        <v>245</v>
      </c>
    </row>
    <row r="870" spans="1:17" x14ac:dyDescent="0.25">
      <c r="A870" t="s">
        <v>324</v>
      </c>
      <c r="B870" t="s">
        <v>171</v>
      </c>
      <c r="C870" s="4">
        <f t="shared" ref="C870:M870" si="340">0.212937718373242 * 0.206315218674948%</f>
        <v>4.3932291930319912E-4</v>
      </c>
      <c r="D870" s="4">
        <f t="shared" si="340"/>
        <v>4.3932291930319912E-4</v>
      </c>
      <c r="E870" s="4">
        <f t="shared" si="340"/>
        <v>4.3932291930319912E-4</v>
      </c>
      <c r="F870" s="4">
        <f t="shared" si="340"/>
        <v>4.3932291930319912E-4</v>
      </c>
      <c r="G870" s="4">
        <f t="shared" si="340"/>
        <v>4.3932291930319912E-4</v>
      </c>
      <c r="H870" s="4">
        <f t="shared" si="340"/>
        <v>4.3932291930319912E-4</v>
      </c>
      <c r="I870" s="4">
        <f t="shared" si="340"/>
        <v>4.3932291930319912E-4</v>
      </c>
      <c r="J870" s="4">
        <f t="shared" si="340"/>
        <v>4.3932291930319912E-4</v>
      </c>
      <c r="K870" s="4">
        <f t="shared" si="340"/>
        <v>4.3932291930319912E-4</v>
      </c>
      <c r="L870" s="4">
        <f t="shared" si="340"/>
        <v>4.3932291930319912E-4</v>
      </c>
      <c r="M870" s="4">
        <f t="shared" si="340"/>
        <v>4.3932291930319912E-4</v>
      </c>
      <c r="N870" t="s">
        <v>242</v>
      </c>
      <c r="O870" t="s">
        <v>327</v>
      </c>
      <c r="P870" t="s">
        <v>324</v>
      </c>
      <c r="Q870" t="s">
        <v>245</v>
      </c>
    </row>
    <row r="871" spans="1:17" x14ac:dyDescent="0.25">
      <c r="A871" t="s">
        <v>324</v>
      </c>
      <c r="B871" t="s">
        <v>171</v>
      </c>
      <c r="C871" s="4">
        <f t="shared" ref="C871:M871" si="341">0.755584923910716 * 0.206315218674948%</f>
        <v>1.5588866880413331E-3</v>
      </c>
      <c r="D871" s="4">
        <f t="shared" si="341"/>
        <v>1.5588866880413331E-3</v>
      </c>
      <c r="E871" s="4">
        <f t="shared" si="341"/>
        <v>1.5588866880413331E-3</v>
      </c>
      <c r="F871" s="4">
        <f t="shared" si="341"/>
        <v>1.5588866880413331E-3</v>
      </c>
      <c r="G871" s="4">
        <f t="shared" si="341"/>
        <v>1.5588866880413331E-3</v>
      </c>
      <c r="H871" s="4">
        <f t="shared" si="341"/>
        <v>1.5588866880413331E-3</v>
      </c>
      <c r="I871" s="4">
        <f t="shared" si="341"/>
        <v>1.5588866880413331E-3</v>
      </c>
      <c r="J871" s="4">
        <f t="shared" si="341"/>
        <v>1.5588866880413331E-3</v>
      </c>
      <c r="K871" s="4">
        <f t="shared" si="341"/>
        <v>1.5588866880413331E-3</v>
      </c>
      <c r="L871" s="4">
        <f t="shared" si="341"/>
        <v>1.5588866880413331E-3</v>
      </c>
      <c r="M871" s="4">
        <f t="shared" si="341"/>
        <v>1.5588866880413331E-3</v>
      </c>
      <c r="N871" t="s">
        <v>242</v>
      </c>
      <c r="O871" t="s">
        <v>326</v>
      </c>
      <c r="P871" t="s">
        <v>324</v>
      </c>
      <c r="Q871" t="s">
        <v>245</v>
      </c>
    </row>
    <row r="872" spans="1:17" x14ac:dyDescent="0.25">
      <c r="A872" t="s">
        <v>324</v>
      </c>
      <c r="B872" t="s">
        <v>171</v>
      </c>
      <c r="C872" s="4">
        <f t="shared" ref="C872:M872" si="342">0.00154025450133466 * 0.206315218674948%</f>
        <v>3.1777794425793337E-6</v>
      </c>
      <c r="D872" s="4">
        <f t="shared" si="342"/>
        <v>3.1777794425793337E-6</v>
      </c>
      <c r="E872" s="4">
        <f t="shared" si="342"/>
        <v>3.1777794425793337E-6</v>
      </c>
      <c r="F872" s="4">
        <f t="shared" si="342"/>
        <v>3.1777794425793337E-6</v>
      </c>
      <c r="G872" s="4">
        <f t="shared" si="342"/>
        <v>3.1777794425793337E-6</v>
      </c>
      <c r="H872" s="4">
        <f t="shared" si="342"/>
        <v>3.1777794425793337E-6</v>
      </c>
      <c r="I872" s="4">
        <f t="shared" si="342"/>
        <v>3.1777794425793337E-6</v>
      </c>
      <c r="J872" s="4">
        <f t="shared" si="342"/>
        <v>3.1777794425793337E-6</v>
      </c>
      <c r="K872" s="4">
        <f t="shared" si="342"/>
        <v>3.1777794425793337E-6</v>
      </c>
      <c r="L872" s="4">
        <f t="shared" si="342"/>
        <v>3.1777794425793337E-6</v>
      </c>
      <c r="M872" s="4">
        <f t="shared" si="342"/>
        <v>3.1777794425793337E-6</v>
      </c>
      <c r="N872" t="s">
        <v>242</v>
      </c>
      <c r="O872" t="s">
        <v>289</v>
      </c>
      <c r="P872" t="s">
        <v>324</v>
      </c>
      <c r="Q872" t="s">
        <v>245</v>
      </c>
    </row>
    <row r="873" spans="1:17" x14ac:dyDescent="0.25">
      <c r="A873" t="s">
        <v>324</v>
      </c>
      <c r="B873" t="s">
        <v>171</v>
      </c>
      <c r="C873" s="4">
        <f t="shared" ref="C873:M873" si="343">4.63438553364394E-10 * 0.206315218674948%</f>
        <v>9.56144264797765E-13</v>
      </c>
      <c r="D873" s="4">
        <f t="shared" si="343"/>
        <v>9.56144264797765E-13</v>
      </c>
      <c r="E873" s="4">
        <f t="shared" si="343"/>
        <v>9.56144264797765E-13</v>
      </c>
      <c r="F873" s="4">
        <f t="shared" si="343"/>
        <v>9.56144264797765E-13</v>
      </c>
      <c r="G873" s="4">
        <f t="shared" si="343"/>
        <v>9.56144264797765E-13</v>
      </c>
      <c r="H873" s="4">
        <f t="shared" si="343"/>
        <v>9.56144264797765E-13</v>
      </c>
      <c r="I873" s="4">
        <f t="shared" si="343"/>
        <v>9.56144264797765E-13</v>
      </c>
      <c r="J873" s="4">
        <f t="shared" si="343"/>
        <v>9.56144264797765E-13</v>
      </c>
      <c r="K873" s="4">
        <f t="shared" si="343"/>
        <v>9.56144264797765E-13</v>
      </c>
      <c r="L873" s="4">
        <f t="shared" si="343"/>
        <v>9.56144264797765E-13</v>
      </c>
      <c r="M873" s="4">
        <f t="shared" si="343"/>
        <v>9.56144264797765E-13</v>
      </c>
      <c r="N873" t="s">
        <v>256</v>
      </c>
      <c r="O873" t="s">
        <v>322</v>
      </c>
      <c r="P873" t="s">
        <v>324</v>
      </c>
      <c r="Q873" t="s">
        <v>245</v>
      </c>
    </row>
    <row r="874" spans="1:17" x14ac:dyDescent="0.25">
      <c r="A874" t="s">
        <v>324</v>
      </c>
      <c r="B874" t="s">
        <v>171</v>
      </c>
      <c r="C874" s="4">
        <f t="shared" ref="C874:M874" si="344">1.80533525994585E-09 * 0.206315218674948%</f>
        <v>3.724681389373221E-12</v>
      </c>
      <c r="D874" s="4">
        <f t="shared" si="344"/>
        <v>3.724681389373221E-12</v>
      </c>
      <c r="E874" s="4">
        <f t="shared" si="344"/>
        <v>3.724681389373221E-12</v>
      </c>
      <c r="F874" s="4">
        <f t="shared" si="344"/>
        <v>3.724681389373221E-12</v>
      </c>
      <c r="G874" s="4">
        <f t="shared" si="344"/>
        <v>3.724681389373221E-12</v>
      </c>
      <c r="H874" s="4">
        <f t="shared" si="344"/>
        <v>3.724681389373221E-12</v>
      </c>
      <c r="I874" s="4">
        <f t="shared" si="344"/>
        <v>3.724681389373221E-12</v>
      </c>
      <c r="J874" s="4">
        <f t="shared" si="344"/>
        <v>3.724681389373221E-12</v>
      </c>
      <c r="K874" s="4">
        <f t="shared" si="344"/>
        <v>3.724681389373221E-12</v>
      </c>
      <c r="L874" s="4">
        <f t="shared" si="344"/>
        <v>3.724681389373221E-12</v>
      </c>
      <c r="M874" s="4">
        <f t="shared" si="344"/>
        <v>3.724681389373221E-12</v>
      </c>
      <c r="N874" t="s">
        <v>256</v>
      </c>
      <c r="O874" t="s">
        <v>323</v>
      </c>
      <c r="P874" t="s">
        <v>324</v>
      </c>
      <c r="Q874" t="s">
        <v>245</v>
      </c>
    </row>
    <row r="875" spans="1:17" x14ac:dyDescent="0.25">
      <c r="A875" t="s">
        <v>324</v>
      </c>
      <c r="B875" t="s">
        <v>171</v>
      </c>
      <c r="C875" s="4">
        <f t="shared" ref="C875:M875" si="345">0.000343246436607167 * 0.206315218674948%</f>
        <v>7.081696362800433E-7</v>
      </c>
      <c r="D875" s="4">
        <f t="shared" si="345"/>
        <v>7.081696362800433E-7</v>
      </c>
      <c r="E875" s="4">
        <f t="shared" si="345"/>
        <v>7.081696362800433E-7</v>
      </c>
      <c r="F875" s="4">
        <f t="shared" si="345"/>
        <v>7.081696362800433E-7</v>
      </c>
      <c r="G875" s="4">
        <f t="shared" si="345"/>
        <v>7.081696362800433E-7</v>
      </c>
      <c r="H875" s="4">
        <f t="shared" si="345"/>
        <v>7.081696362800433E-7</v>
      </c>
      <c r="I875" s="4">
        <f t="shared" si="345"/>
        <v>7.081696362800433E-7</v>
      </c>
      <c r="J875" s="4">
        <f t="shared" si="345"/>
        <v>7.081696362800433E-7</v>
      </c>
      <c r="K875" s="4">
        <f t="shared" si="345"/>
        <v>7.081696362800433E-7</v>
      </c>
      <c r="L875" s="4">
        <f t="shared" si="345"/>
        <v>7.081696362800433E-7</v>
      </c>
      <c r="M875" s="4">
        <f t="shared" si="345"/>
        <v>7.081696362800433E-7</v>
      </c>
      <c r="N875" t="s">
        <v>256</v>
      </c>
      <c r="O875" t="s">
        <v>280</v>
      </c>
      <c r="P875" t="s">
        <v>324</v>
      </c>
      <c r="Q875" t="s">
        <v>245</v>
      </c>
    </row>
    <row r="876" spans="1:17" x14ac:dyDescent="0.25">
      <c r="A876" t="s">
        <v>324</v>
      </c>
      <c r="B876" t="s">
        <v>150</v>
      </c>
      <c r="C876" s="4">
        <f t="shared" ref="C876:M876" si="346">0.212937718373242 * 1.95900546114384%</f>
        <v>4.1714615317669009E-3</v>
      </c>
      <c r="D876" s="4">
        <f t="shared" si="346"/>
        <v>4.1714615317669009E-3</v>
      </c>
      <c r="E876" s="4">
        <f t="shared" si="346"/>
        <v>4.1714615317669009E-3</v>
      </c>
      <c r="F876" s="4">
        <f t="shared" si="346"/>
        <v>4.1714615317669009E-3</v>
      </c>
      <c r="G876" s="4">
        <f t="shared" si="346"/>
        <v>4.1714615317669009E-3</v>
      </c>
      <c r="H876" s="4">
        <f t="shared" si="346"/>
        <v>4.1714615317669009E-3</v>
      </c>
      <c r="I876" s="4">
        <f t="shared" si="346"/>
        <v>4.1714615317669009E-3</v>
      </c>
      <c r="J876" s="4">
        <f t="shared" si="346"/>
        <v>4.1714615317669009E-3</v>
      </c>
      <c r="K876" s="4">
        <f t="shared" si="346"/>
        <v>4.1714615317669009E-3</v>
      </c>
      <c r="L876" s="4">
        <f t="shared" si="346"/>
        <v>4.1714615317669009E-3</v>
      </c>
      <c r="M876" s="4">
        <f t="shared" si="346"/>
        <v>4.1714615317669009E-3</v>
      </c>
      <c r="N876" t="s">
        <v>242</v>
      </c>
      <c r="O876" t="s">
        <v>327</v>
      </c>
      <c r="P876" t="s">
        <v>324</v>
      </c>
      <c r="Q876" t="s">
        <v>245</v>
      </c>
    </row>
    <row r="877" spans="1:17" x14ac:dyDescent="0.25">
      <c r="A877" t="s">
        <v>324</v>
      </c>
      <c r="B877" t="s">
        <v>150</v>
      </c>
      <c r="C877" s="4">
        <f t="shared" ref="C877:M877" si="347">0.755584923910716 * 1.95900546114384%</f>
        <v>1.4801949922990457E-2</v>
      </c>
      <c r="D877" s="4">
        <f t="shared" si="347"/>
        <v>1.4801949922990457E-2</v>
      </c>
      <c r="E877" s="4">
        <f t="shared" si="347"/>
        <v>1.4801949922990457E-2</v>
      </c>
      <c r="F877" s="4">
        <f t="shared" si="347"/>
        <v>1.4801949922990457E-2</v>
      </c>
      <c r="G877" s="4">
        <f t="shared" si="347"/>
        <v>1.4801949922990457E-2</v>
      </c>
      <c r="H877" s="4">
        <f t="shared" si="347"/>
        <v>1.4801949922990457E-2</v>
      </c>
      <c r="I877" s="4">
        <f t="shared" si="347"/>
        <v>1.4801949922990457E-2</v>
      </c>
      <c r="J877" s="4">
        <f t="shared" si="347"/>
        <v>1.4801949922990457E-2</v>
      </c>
      <c r="K877" s="4">
        <f t="shared" si="347"/>
        <v>1.4801949922990457E-2</v>
      </c>
      <c r="L877" s="4">
        <f t="shared" si="347"/>
        <v>1.4801949922990457E-2</v>
      </c>
      <c r="M877" s="4">
        <f t="shared" si="347"/>
        <v>1.4801949922990457E-2</v>
      </c>
      <c r="N877" t="s">
        <v>242</v>
      </c>
      <c r="O877" t="s">
        <v>326</v>
      </c>
      <c r="P877" t="s">
        <v>324</v>
      </c>
      <c r="Q877" t="s">
        <v>245</v>
      </c>
    </row>
    <row r="878" spans="1:17" x14ac:dyDescent="0.25">
      <c r="A878" t="s">
        <v>324</v>
      </c>
      <c r="B878" t="s">
        <v>150</v>
      </c>
      <c r="C878" s="4">
        <f t="shared" ref="C878:M878" si="348">0.00154025450133466 * 1.95900546114384%</f>
        <v>3.0173669796659814E-5</v>
      </c>
      <c r="D878" s="4">
        <f t="shared" si="348"/>
        <v>3.0173669796659814E-5</v>
      </c>
      <c r="E878" s="4">
        <f t="shared" si="348"/>
        <v>3.0173669796659814E-5</v>
      </c>
      <c r="F878" s="4">
        <f t="shared" si="348"/>
        <v>3.0173669796659814E-5</v>
      </c>
      <c r="G878" s="4">
        <f t="shared" si="348"/>
        <v>3.0173669796659814E-5</v>
      </c>
      <c r="H878" s="4">
        <f t="shared" si="348"/>
        <v>3.0173669796659814E-5</v>
      </c>
      <c r="I878" s="4">
        <f t="shared" si="348"/>
        <v>3.0173669796659814E-5</v>
      </c>
      <c r="J878" s="4">
        <f t="shared" si="348"/>
        <v>3.0173669796659814E-5</v>
      </c>
      <c r="K878" s="4">
        <f t="shared" si="348"/>
        <v>3.0173669796659814E-5</v>
      </c>
      <c r="L878" s="4">
        <f t="shared" si="348"/>
        <v>3.0173669796659814E-5</v>
      </c>
      <c r="M878" s="4">
        <f t="shared" si="348"/>
        <v>3.0173669796659814E-5</v>
      </c>
      <c r="N878" t="s">
        <v>242</v>
      </c>
      <c r="O878" t="s">
        <v>289</v>
      </c>
      <c r="P878" t="s">
        <v>324</v>
      </c>
      <c r="Q878" t="s">
        <v>245</v>
      </c>
    </row>
    <row r="879" spans="1:17" x14ac:dyDescent="0.25">
      <c r="A879" t="s">
        <v>324</v>
      </c>
      <c r="B879" t="s">
        <v>150</v>
      </c>
      <c r="C879" s="4">
        <f t="shared" ref="C879:M879" si="349">4.63438553364394E-10 * 1.95900546114384%</f>
        <v>9.0787865694544883E-12</v>
      </c>
      <c r="D879" s="4">
        <f t="shared" si="349"/>
        <v>9.0787865694544883E-12</v>
      </c>
      <c r="E879" s="4">
        <f t="shared" si="349"/>
        <v>9.0787865694544883E-12</v>
      </c>
      <c r="F879" s="4">
        <f t="shared" si="349"/>
        <v>9.0787865694544883E-12</v>
      </c>
      <c r="G879" s="4">
        <f t="shared" si="349"/>
        <v>9.0787865694544883E-12</v>
      </c>
      <c r="H879" s="4">
        <f t="shared" si="349"/>
        <v>9.0787865694544883E-12</v>
      </c>
      <c r="I879" s="4">
        <f t="shared" si="349"/>
        <v>9.0787865694544883E-12</v>
      </c>
      <c r="J879" s="4">
        <f t="shared" si="349"/>
        <v>9.0787865694544883E-12</v>
      </c>
      <c r="K879" s="4">
        <f t="shared" si="349"/>
        <v>9.0787865694544883E-12</v>
      </c>
      <c r="L879" s="4">
        <f t="shared" si="349"/>
        <v>9.0787865694544883E-12</v>
      </c>
      <c r="M879" s="4">
        <f t="shared" si="349"/>
        <v>9.0787865694544883E-12</v>
      </c>
      <c r="N879" t="s">
        <v>256</v>
      </c>
      <c r="O879" t="s">
        <v>322</v>
      </c>
      <c r="P879" t="s">
        <v>324</v>
      </c>
      <c r="Q879" t="s">
        <v>245</v>
      </c>
    </row>
    <row r="880" spans="1:17" x14ac:dyDescent="0.25">
      <c r="A880" t="s">
        <v>324</v>
      </c>
      <c r="B880" t="s">
        <v>150</v>
      </c>
      <c r="C880" s="4">
        <f t="shared" ref="C880:M880" si="350">1.80533525994585E-09 * 1.95900546114384%</f>
        <v>3.5366616334294544E-11</v>
      </c>
      <c r="D880" s="4">
        <f t="shared" si="350"/>
        <v>3.5366616334294544E-11</v>
      </c>
      <c r="E880" s="4">
        <f t="shared" si="350"/>
        <v>3.5366616334294544E-11</v>
      </c>
      <c r="F880" s="4">
        <f t="shared" si="350"/>
        <v>3.5366616334294544E-11</v>
      </c>
      <c r="G880" s="4">
        <f t="shared" si="350"/>
        <v>3.5366616334294544E-11</v>
      </c>
      <c r="H880" s="4">
        <f t="shared" si="350"/>
        <v>3.5366616334294544E-11</v>
      </c>
      <c r="I880" s="4">
        <f t="shared" si="350"/>
        <v>3.5366616334294544E-11</v>
      </c>
      <c r="J880" s="4">
        <f t="shared" si="350"/>
        <v>3.5366616334294544E-11</v>
      </c>
      <c r="K880" s="4">
        <f t="shared" si="350"/>
        <v>3.5366616334294544E-11</v>
      </c>
      <c r="L880" s="4">
        <f t="shared" si="350"/>
        <v>3.5366616334294544E-11</v>
      </c>
      <c r="M880" s="4">
        <f t="shared" si="350"/>
        <v>3.5366616334294544E-11</v>
      </c>
      <c r="N880" t="s">
        <v>256</v>
      </c>
      <c r="O880" t="s">
        <v>323</v>
      </c>
      <c r="P880" t="s">
        <v>324</v>
      </c>
      <c r="Q880" t="s">
        <v>245</v>
      </c>
    </row>
    <row r="881" spans="1:17" x14ac:dyDescent="0.25">
      <c r="A881" t="s">
        <v>324</v>
      </c>
      <c r="B881" t="s">
        <v>150</v>
      </c>
      <c r="C881" s="4">
        <f t="shared" ref="C881:M881" si="351">0.000343246436607167 * 1.95900546114384%</f>
        <v>6.724216438316031E-6</v>
      </c>
      <c r="D881" s="4">
        <f t="shared" si="351"/>
        <v>6.724216438316031E-6</v>
      </c>
      <c r="E881" s="4">
        <f t="shared" si="351"/>
        <v>6.724216438316031E-6</v>
      </c>
      <c r="F881" s="4">
        <f t="shared" si="351"/>
        <v>6.724216438316031E-6</v>
      </c>
      <c r="G881" s="4">
        <f t="shared" si="351"/>
        <v>6.724216438316031E-6</v>
      </c>
      <c r="H881" s="4">
        <f t="shared" si="351"/>
        <v>6.724216438316031E-6</v>
      </c>
      <c r="I881" s="4">
        <f t="shared" si="351"/>
        <v>6.724216438316031E-6</v>
      </c>
      <c r="J881" s="4">
        <f t="shared" si="351"/>
        <v>6.724216438316031E-6</v>
      </c>
      <c r="K881" s="4">
        <f t="shared" si="351"/>
        <v>6.724216438316031E-6</v>
      </c>
      <c r="L881" s="4">
        <f t="shared" si="351"/>
        <v>6.724216438316031E-6</v>
      </c>
      <c r="M881" s="4">
        <f t="shared" si="351"/>
        <v>6.724216438316031E-6</v>
      </c>
      <c r="N881" t="s">
        <v>256</v>
      </c>
      <c r="O881" t="s">
        <v>280</v>
      </c>
      <c r="P881" t="s">
        <v>324</v>
      </c>
      <c r="Q881" t="s">
        <v>245</v>
      </c>
    </row>
    <row r="882" spans="1:17" x14ac:dyDescent="0.25">
      <c r="A882" t="s">
        <v>324</v>
      </c>
      <c r="B882" t="s">
        <v>173</v>
      </c>
      <c r="C882" s="4">
        <f t="shared" ref="C882:M882" si="352">0.212937718373242 * 0.0490449118739643%</f>
        <v>1.0443511632258683E-4</v>
      </c>
      <c r="D882" s="4">
        <f t="shared" si="352"/>
        <v>1.0443511632258683E-4</v>
      </c>
      <c r="E882" s="4">
        <f t="shared" si="352"/>
        <v>1.0443511632258683E-4</v>
      </c>
      <c r="F882" s="4">
        <f t="shared" si="352"/>
        <v>1.0443511632258683E-4</v>
      </c>
      <c r="G882" s="4">
        <f t="shared" si="352"/>
        <v>1.0443511632258683E-4</v>
      </c>
      <c r="H882" s="4">
        <f t="shared" si="352"/>
        <v>1.0443511632258683E-4</v>
      </c>
      <c r="I882" s="4">
        <f t="shared" si="352"/>
        <v>1.0443511632258683E-4</v>
      </c>
      <c r="J882" s="4">
        <f t="shared" si="352"/>
        <v>1.0443511632258683E-4</v>
      </c>
      <c r="K882" s="4">
        <f t="shared" si="352"/>
        <v>1.0443511632258683E-4</v>
      </c>
      <c r="L882" s="4">
        <f t="shared" si="352"/>
        <v>1.0443511632258683E-4</v>
      </c>
      <c r="M882" s="4">
        <f t="shared" si="352"/>
        <v>1.0443511632258683E-4</v>
      </c>
      <c r="N882" t="s">
        <v>242</v>
      </c>
      <c r="O882" t="s">
        <v>327</v>
      </c>
      <c r="P882" t="s">
        <v>324</v>
      </c>
      <c r="Q882" t="s">
        <v>245</v>
      </c>
    </row>
    <row r="883" spans="1:17" x14ac:dyDescent="0.25">
      <c r="A883" t="s">
        <v>324</v>
      </c>
      <c r="B883" t="s">
        <v>173</v>
      </c>
      <c r="C883" s="4">
        <f t="shared" ref="C883:M883" si="353">0.755584923910716 * 0.0490449118739643%</f>
        <v>3.7057596006497088E-4</v>
      </c>
      <c r="D883" s="4">
        <f t="shared" si="353"/>
        <v>3.7057596006497088E-4</v>
      </c>
      <c r="E883" s="4">
        <f t="shared" si="353"/>
        <v>3.7057596006497088E-4</v>
      </c>
      <c r="F883" s="4">
        <f t="shared" si="353"/>
        <v>3.7057596006497088E-4</v>
      </c>
      <c r="G883" s="4">
        <f t="shared" si="353"/>
        <v>3.7057596006497088E-4</v>
      </c>
      <c r="H883" s="4">
        <f t="shared" si="353"/>
        <v>3.7057596006497088E-4</v>
      </c>
      <c r="I883" s="4">
        <f t="shared" si="353"/>
        <v>3.7057596006497088E-4</v>
      </c>
      <c r="J883" s="4">
        <f t="shared" si="353"/>
        <v>3.7057596006497088E-4</v>
      </c>
      <c r="K883" s="4">
        <f t="shared" si="353"/>
        <v>3.7057596006497088E-4</v>
      </c>
      <c r="L883" s="4">
        <f t="shared" si="353"/>
        <v>3.7057596006497088E-4</v>
      </c>
      <c r="M883" s="4">
        <f t="shared" si="353"/>
        <v>3.7057596006497088E-4</v>
      </c>
      <c r="N883" t="s">
        <v>242</v>
      </c>
      <c r="O883" t="s">
        <v>326</v>
      </c>
      <c r="P883" t="s">
        <v>324</v>
      </c>
      <c r="Q883" t="s">
        <v>245</v>
      </c>
    </row>
    <row r="884" spans="1:17" x14ac:dyDescent="0.25">
      <c r="A884" t="s">
        <v>324</v>
      </c>
      <c r="B884" t="s">
        <v>173</v>
      </c>
      <c r="C884" s="4">
        <f t="shared" ref="C884:M884" si="354">0.00154025450133466 * 0.0490449118739643%</f>
        <v>7.554164628143523E-7</v>
      </c>
      <c r="D884" s="4">
        <f t="shared" si="354"/>
        <v>7.554164628143523E-7</v>
      </c>
      <c r="E884" s="4">
        <f t="shared" si="354"/>
        <v>7.554164628143523E-7</v>
      </c>
      <c r="F884" s="4">
        <f t="shared" si="354"/>
        <v>7.554164628143523E-7</v>
      </c>
      <c r="G884" s="4">
        <f t="shared" si="354"/>
        <v>7.554164628143523E-7</v>
      </c>
      <c r="H884" s="4">
        <f t="shared" si="354"/>
        <v>7.554164628143523E-7</v>
      </c>
      <c r="I884" s="4">
        <f t="shared" si="354"/>
        <v>7.554164628143523E-7</v>
      </c>
      <c r="J884" s="4">
        <f t="shared" si="354"/>
        <v>7.554164628143523E-7</v>
      </c>
      <c r="K884" s="4">
        <f t="shared" si="354"/>
        <v>7.554164628143523E-7</v>
      </c>
      <c r="L884" s="4">
        <f t="shared" si="354"/>
        <v>7.554164628143523E-7</v>
      </c>
      <c r="M884" s="4">
        <f t="shared" si="354"/>
        <v>7.554164628143523E-7</v>
      </c>
      <c r="N884" t="s">
        <v>242</v>
      </c>
      <c r="O884" t="s">
        <v>289</v>
      </c>
      <c r="P884" t="s">
        <v>324</v>
      </c>
      <c r="Q884" t="s">
        <v>245</v>
      </c>
    </row>
    <row r="885" spans="1:17" x14ac:dyDescent="0.25">
      <c r="A885" t="s">
        <v>324</v>
      </c>
      <c r="B885" t="s">
        <v>173</v>
      </c>
      <c r="C885" s="4">
        <f t="shared" ref="C885:M885" si="355">4.63438553364394E-10 * 0.0490449118739643%</f>
        <v>2.2729303008754206E-13</v>
      </c>
      <c r="D885" s="4">
        <f t="shared" si="355"/>
        <v>2.2729303008754206E-13</v>
      </c>
      <c r="E885" s="4">
        <f t="shared" si="355"/>
        <v>2.2729303008754206E-13</v>
      </c>
      <c r="F885" s="4">
        <f t="shared" si="355"/>
        <v>2.2729303008754206E-13</v>
      </c>
      <c r="G885" s="4">
        <f t="shared" si="355"/>
        <v>2.2729303008754206E-13</v>
      </c>
      <c r="H885" s="4">
        <f t="shared" si="355"/>
        <v>2.2729303008754206E-13</v>
      </c>
      <c r="I885" s="4">
        <f t="shared" si="355"/>
        <v>2.2729303008754206E-13</v>
      </c>
      <c r="J885" s="4">
        <f t="shared" si="355"/>
        <v>2.2729303008754206E-13</v>
      </c>
      <c r="K885" s="4">
        <f t="shared" si="355"/>
        <v>2.2729303008754206E-13</v>
      </c>
      <c r="L885" s="4">
        <f t="shared" si="355"/>
        <v>2.2729303008754206E-13</v>
      </c>
      <c r="M885" s="4">
        <f t="shared" si="355"/>
        <v>2.2729303008754206E-13</v>
      </c>
      <c r="N885" t="s">
        <v>256</v>
      </c>
      <c r="O885" t="s">
        <v>322</v>
      </c>
      <c r="P885" t="s">
        <v>324</v>
      </c>
      <c r="Q885" t="s">
        <v>245</v>
      </c>
    </row>
    <row r="886" spans="1:17" x14ac:dyDescent="0.25">
      <c r="A886" t="s">
        <v>324</v>
      </c>
      <c r="B886" t="s">
        <v>173</v>
      </c>
      <c r="C886" s="4">
        <f t="shared" ref="C886:M886" si="356">1.80533525994585E-09 * 0.0490449118739643%</f>
        <v>8.854250872700464E-13</v>
      </c>
      <c r="D886" s="4">
        <f t="shared" si="356"/>
        <v>8.854250872700464E-13</v>
      </c>
      <c r="E886" s="4">
        <f t="shared" si="356"/>
        <v>8.854250872700464E-13</v>
      </c>
      <c r="F886" s="4">
        <f t="shared" si="356"/>
        <v>8.854250872700464E-13</v>
      </c>
      <c r="G886" s="4">
        <f t="shared" si="356"/>
        <v>8.854250872700464E-13</v>
      </c>
      <c r="H886" s="4">
        <f t="shared" si="356"/>
        <v>8.854250872700464E-13</v>
      </c>
      <c r="I886" s="4">
        <f t="shared" si="356"/>
        <v>8.854250872700464E-13</v>
      </c>
      <c r="J886" s="4">
        <f t="shared" si="356"/>
        <v>8.854250872700464E-13</v>
      </c>
      <c r="K886" s="4">
        <f t="shared" si="356"/>
        <v>8.854250872700464E-13</v>
      </c>
      <c r="L886" s="4">
        <f t="shared" si="356"/>
        <v>8.854250872700464E-13</v>
      </c>
      <c r="M886" s="4">
        <f t="shared" si="356"/>
        <v>8.854250872700464E-13</v>
      </c>
      <c r="N886" t="s">
        <v>256</v>
      </c>
      <c r="O886" t="s">
        <v>323</v>
      </c>
      <c r="P886" t="s">
        <v>324</v>
      </c>
      <c r="Q886" t="s">
        <v>245</v>
      </c>
    </row>
    <row r="887" spans="1:17" x14ac:dyDescent="0.25">
      <c r="A887" t="s">
        <v>324</v>
      </c>
      <c r="B887" t="s">
        <v>173</v>
      </c>
      <c r="C887" s="4">
        <f t="shared" ref="C887:M887" si="357">0.000343246436607167 * 0.0490449118739643%</f>
        <v>1.683449123445078E-7</v>
      </c>
      <c r="D887" s="4">
        <f t="shared" si="357"/>
        <v>1.683449123445078E-7</v>
      </c>
      <c r="E887" s="4">
        <f t="shared" si="357"/>
        <v>1.683449123445078E-7</v>
      </c>
      <c r="F887" s="4">
        <f t="shared" si="357"/>
        <v>1.683449123445078E-7</v>
      </c>
      <c r="G887" s="4">
        <f t="shared" si="357"/>
        <v>1.683449123445078E-7</v>
      </c>
      <c r="H887" s="4">
        <f t="shared" si="357"/>
        <v>1.683449123445078E-7</v>
      </c>
      <c r="I887" s="4">
        <f t="shared" si="357"/>
        <v>1.683449123445078E-7</v>
      </c>
      <c r="J887" s="4">
        <f t="shared" si="357"/>
        <v>1.683449123445078E-7</v>
      </c>
      <c r="K887" s="4">
        <f t="shared" si="357"/>
        <v>1.683449123445078E-7</v>
      </c>
      <c r="L887" s="4">
        <f t="shared" si="357"/>
        <v>1.683449123445078E-7</v>
      </c>
      <c r="M887" s="4">
        <f t="shared" si="357"/>
        <v>1.683449123445078E-7</v>
      </c>
      <c r="N887" t="s">
        <v>256</v>
      </c>
      <c r="O887" t="s">
        <v>280</v>
      </c>
      <c r="P887" t="s">
        <v>324</v>
      </c>
      <c r="Q887" t="s">
        <v>245</v>
      </c>
    </row>
    <row r="888" spans="1:17" x14ac:dyDescent="0.25">
      <c r="A888" t="s">
        <v>324</v>
      </c>
      <c r="B888" t="s">
        <v>174</v>
      </c>
      <c r="C888" s="4">
        <f t="shared" ref="C888:M888" si="358">0.212937718373242 * 0.626686351994116%</f>
        <v>1.3344516192927748E-3</v>
      </c>
      <c r="D888" s="4">
        <f t="shared" si="358"/>
        <v>1.3344516192927748E-3</v>
      </c>
      <c r="E888" s="4">
        <f t="shared" si="358"/>
        <v>1.3344516192927748E-3</v>
      </c>
      <c r="F888" s="4">
        <f t="shared" si="358"/>
        <v>1.3344516192927748E-3</v>
      </c>
      <c r="G888" s="4">
        <f t="shared" si="358"/>
        <v>1.3344516192927748E-3</v>
      </c>
      <c r="H888" s="4">
        <f t="shared" si="358"/>
        <v>1.3344516192927748E-3</v>
      </c>
      <c r="I888" s="4">
        <f t="shared" si="358"/>
        <v>1.3344516192927748E-3</v>
      </c>
      <c r="J888" s="4">
        <f t="shared" si="358"/>
        <v>1.3344516192927748E-3</v>
      </c>
      <c r="K888" s="4">
        <f t="shared" si="358"/>
        <v>1.3344516192927748E-3</v>
      </c>
      <c r="L888" s="4">
        <f t="shared" si="358"/>
        <v>1.3344516192927748E-3</v>
      </c>
      <c r="M888" s="4">
        <f t="shared" si="358"/>
        <v>1.3344516192927748E-3</v>
      </c>
      <c r="N888" t="s">
        <v>242</v>
      </c>
      <c r="O888" t="s">
        <v>327</v>
      </c>
      <c r="P888" t="s">
        <v>324</v>
      </c>
      <c r="Q888" t="s">
        <v>245</v>
      </c>
    </row>
    <row r="889" spans="1:17" x14ac:dyDescent="0.25">
      <c r="A889" t="s">
        <v>324</v>
      </c>
      <c r="B889" t="s">
        <v>174</v>
      </c>
      <c r="C889" s="4">
        <f t="shared" ref="C889:M889" si="359">0.755584923910716 * 0.626686351994116%</f>
        <v>4.7351475958735834E-3</v>
      </c>
      <c r="D889" s="4">
        <f t="shared" si="359"/>
        <v>4.7351475958735834E-3</v>
      </c>
      <c r="E889" s="4">
        <f t="shared" si="359"/>
        <v>4.7351475958735834E-3</v>
      </c>
      <c r="F889" s="4">
        <f t="shared" si="359"/>
        <v>4.7351475958735834E-3</v>
      </c>
      <c r="G889" s="4">
        <f t="shared" si="359"/>
        <v>4.7351475958735834E-3</v>
      </c>
      <c r="H889" s="4">
        <f t="shared" si="359"/>
        <v>4.7351475958735834E-3</v>
      </c>
      <c r="I889" s="4">
        <f t="shared" si="359"/>
        <v>4.7351475958735834E-3</v>
      </c>
      <c r="J889" s="4">
        <f t="shared" si="359"/>
        <v>4.7351475958735834E-3</v>
      </c>
      <c r="K889" s="4">
        <f t="shared" si="359"/>
        <v>4.7351475958735834E-3</v>
      </c>
      <c r="L889" s="4">
        <f t="shared" si="359"/>
        <v>4.7351475958735834E-3</v>
      </c>
      <c r="M889" s="4">
        <f t="shared" si="359"/>
        <v>4.7351475958735834E-3</v>
      </c>
      <c r="N889" t="s">
        <v>242</v>
      </c>
      <c r="O889" t="s">
        <v>326</v>
      </c>
      <c r="P889" t="s">
        <v>324</v>
      </c>
      <c r="Q889" t="s">
        <v>245</v>
      </c>
    </row>
    <row r="890" spans="1:17" x14ac:dyDescent="0.25">
      <c r="A890" t="s">
        <v>324</v>
      </c>
      <c r="B890" t="s">
        <v>174</v>
      </c>
      <c r="C890" s="4">
        <f t="shared" ref="C890:M890" si="360">0.00154025450133466 * 0.626686351994116%</f>
        <v>9.6525647458393436E-6</v>
      </c>
      <c r="D890" s="4">
        <f t="shared" si="360"/>
        <v>9.6525647458393436E-6</v>
      </c>
      <c r="E890" s="4">
        <f t="shared" si="360"/>
        <v>9.6525647458393436E-6</v>
      </c>
      <c r="F890" s="4">
        <f t="shared" si="360"/>
        <v>9.6525647458393436E-6</v>
      </c>
      <c r="G890" s="4">
        <f t="shared" si="360"/>
        <v>9.6525647458393436E-6</v>
      </c>
      <c r="H890" s="4">
        <f t="shared" si="360"/>
        <v>9.6525647458393436E-6</v>
      </c>
      <c r="I890" s="4">
        <f t="shared" si="360"/>
        <v>9.6525647458393436E-6</v>
      </c>
      <c r="J890" s="4">
        <f t="shared" si="360"/>
        <v>9.6525647458393436E-6</v>
      </c>
      <c r="K890" s="4">
        <f t="shared" si="360"/>
        <v>9.6525647458393436E-6</v>
      </c>
      <c r="L890" s="4">
        <f t="shared" si="360"/>
        <v>9.6525647458393436E-6</v>
      </c>
      <c r="M890" s="4">
        <f t="shared" si="360"/>
        <v>9.6525647458393436E-6</v>
      </c>
      <c r="N890" t="s">
        <v>242</v>
      </c>
      <c r="O890" t="s">
        <v>289</v>
      </c>
      <c r="P890" t="s">
        <v>324</v>
      </c>
      <c r="Q890" t="s">
        <v>245</v>
      </c>
    </row>
    <row r="891" spans="1:17" x14ac:dyDescent="0.25">
      <c r="A891" t="s">
        <v>324</v>
      </c>
      <c r="B891" t="s">
        <v>174</v>
      </c>
      <c r="C891" s="4">
        <f t="shared" ref="C891:M891" si="361">4.63438553364394E-10 * 0.626686351994116%</f>
        <v>2.9043061638136254E-12</v>
      </c>
      <c r="D891" s="4">
        <f t="shared" si="361"/>
        <v>2.9043061638136254E-12</v>
      </c>
      <c r="E891" s="4">
        <f t="shared" si="361"/>
        <v>2.9043061638136254E-12</v>
      </c>
      <c r="F891" s="4">
        <f t="shared" si="361"/>
        <v>2.9043061638136254E-12</v>
      </c>
      <c r="G891" s="4">
        <f t="shared" si="361"/>
        <v>2.9043061638136254E-12</v>
      </c>
      <c r="H891" s="4">
        <f t="shared" si="361"/>
        <v>2.9043061638136254E-12</v>
      </c>
      <c r="I891" s="4">
        <f t="shared" si="361"/>
        <v>2.9043061638136254E-12</v>
      </c>
      <c r="J891" s="4">
        <f t="shared" si="361"/>
        <v>2.9043061638136254E-12</v>
      </c>
      <c r="K891" s="4">
        <f t="shared" si="361"/>
        <v>2.9043061638136254E-12</v>
      </c>
      <c r="L891" s="4">
        <f t="shared" si="361"/>
        <v>2.9043061638136254E-12</v>
      </c>
      <c r="M891" s="4">
        <f t="shared" si="361"/>
        <v>2.9043061638136254E-12</v>
      </c>
      <c r="N891" t="s">
        <v>256</v>
      </c>
      <c r="O891" t="s">
        <v>322</v>
      </c>
      <c r="P891" t="s">
        <v>324</v>
      </c>
      <c r="Q891" t="s">
        <v>245</v>
      </c>
    </row>
    <row r="892" spans="1:17" x14ac:dyDescent="0.25">
      <c r="A892" t="s">
        <v>324</v>
      </c>
      <c r="B892" t="s">
        <v>174</v>
      </c>
      <c r="C892" s="4">
        <f t="shared" ref="C892:M892" si="362">1.80533525994585E-09 * 0.626686351994116%</f>
        <v>1.131378968181814E-11</v>
      </c>
      <c r="D892" s="4">
        <f t="shared" si="362"/>
        <v>1.131378968181814E-11</v>
      </c>
      <c r="E892" s="4">
        <f t="shared" si="362"/>
        <v>1.131378968181814E-11</v>
      </c>
      <c r="F892" s="4">
        <f t="shared" si="362"/>
        <v>1.131378968181814E-11</v>
      </c>
      <c r="G892" s="4">
        <f t="shared" si="362"/>
        <v>1.131378968181814E-11</v>
      </c>
      <c r="H892" s="4">
        <f t="shared" si="362"/>
        <v>1.131378968181814E-11</v>
      </c>
      <c r="I892" s="4">
        <f t="shared" si="362"/>
        <v>1.131378968181814E-11</v>
      </c>
      <c r="J892" s="4">
        <f t="shared" si="362"/>
        <v>1.131378968181814E-11</v>
      </c>
      <c r="K892" s="4">
        <f t="shared" si="362"/>
        <v>1.131378968181814E-11</v>
      </c>
      <c r="L892" s="4">
        <f t="shared" si="362"/>
        <v>1.131378968181814E-11</v>
      </c>
      <c r="M892" s="4">
        <f t="shared" si="362"/>
        <v>1.131378968181814E-11</v>
      </c>
      <c r="N892" t="s">
        <v>256</v>
      </c>
      <c r="O892" t="s">
        <v>323</v>
      </c>
      <c r="P892" t="s">
        <v>324</v>
      </c>
      <c r="Q892" t="s">
        <v>245</v>
      </c>
    </row>
    <row r="893" spans="1:17" x14ac:dyDescent="0.25">
      <c r="A893" t="s">
        <v>324</v>
      </c>
      <c r="B893" t="s">
        <v>174</v>
      </c>
      <c r="C893" s="4">
        <f t="shared" ref="C893:M893" si="363">0.000343246436607167 * 0.626686351994116%</f>
        <v>2.151078571923251E-6</v>
      </c>
      <c r="D893" s="4">
        <f t="shared" si="363"/>
        <v>2.151078571923251E-6</v>
      </c>
      <c r="E893" s="4">
        <f t="shared" si="363"/>
        <v>2.151078571923251E-6</v>
      </c>
      <c r="F893" s="4">
        <f t="shared" si="363"/>
        <v>2.151078571923251E-6</v>
      </c>
      <c r="G893" s="4">
        <f t="shared" si="363"/>
        <v>2.151078571923251E-6</v>
      </c>
      <c r="H893" s="4">
        <f t="shared" si="363"/>
        <v>2.151078571923251E-6</v>
      </c>
      <c r="I893" s="4">
        <f t="shared" si="363"/>
        <v>2.151078571923251E-6</v>
      </c>
      <c r="J893" s="4">
        <f t="shared" si="363"/>
        <v>2.151078571923251E-6</v>
      </c>
      <c r="K893" s="4">
        <f t="shared" si="363"/>
        <v>2.151078571923251E-6</v>
      </c>
      <c r="L893" s="4">
        <f t="shared" si="363"/>
        <v>2.151078571923251E-6</v>
      </c>
      <c r="M893" s="4">
        <f t="shared" si="363"/>
        <v>2.151078571923251E-6</v>
      </c>
      <c r="N893" t="s">
        <v>256</v>
      </c>
      <c r="O893" t="s">
        <v>280</v>
      </c>
      <c r="P893" t="s">
        <v>324</v>
      </c>
      <c r="Q893" t="s">
        <v>245</v>
      </c>
    </row>
    <row r="894" spans="1:17" x14ac:dyDescent="0.25">
      <c r="A894" t="s">
        <v>324</v>
      </c>
      <c r="B894" t="s">
        <v>175</v>
      </c>
      <c r="C894" s="4">
        <f t="shared" ref="C894:M894" si="364">0.212937718373242 * 0.048985860156462%</f>
        <v>1.0430937294267721E-4</v>
      </c>
      <c r="D894" s="4">
        <f t="shared" si="364"/>
        <v>1.0430937294267721E-4</v>
      </c>
      <c r="E894" s="4">
        <f t="shared" si="364"/>
        <v>1.0430937294267721E-4</v>
      </c>
      <c r="F894" s="4">
        <f t="shared" si="364"/>
        <v>1.0430937294267721E-4</v>
      </c>
      <c r="G894" s="4">
        <f t="shared" si="364"/>
        <v>1.0430937294267721E-4</v>
      </c>
      <c r="H894" s="4">
        <f t="shared" si="364"/>
        <v>1.0430937294267721E-4</v>
      </c>
      <c r="I894" s="4">
        <f t="shared" si="364"/>
        <v>1.0430937294267721E-4</v>
      </c>
      <c r="J894" s="4">
        <f t="shared" si="364"/>
        <v>1.0430937294267721E-4</v>
      </c>
      <c r="K894" s="4">
        <f t="shared" si="364"/>
        <v>1.0430937294267721E-4</v>
      </c>
      <c r="L894" s="4">
        <f t="shared" si="364"/>
        <v>1.0430937294267721E-4</v>
      </c>
      <c r="M894" s="4">
        <f t="shared" si="364"/>
        <v>1.0430937294267721E-4</v>
      </c>
      <c r="N894" t="s">
        <v>242</v>
      </c>
      <c r="O894" t="s">
        <v>327</v>
      </c>
      <c r="P894" t="s">
        <v>324</v>
      </c>
      <c r="Q894" t="s">
        <v>245</v>
      </c>
    </row>
    <row r="895" spans="1:17" x14ac:dyDescent="0.25">
      <c r="A895" t="s">
        <v>324</v>
      </c>
      <c r="B895" t="s">
        <v>175</v>
      </c>
      <c r="C895" s="4">
        <f t="shared" ref="C895:M895" si="365">0.755584923910716 * 0.048985860156462%</f>
        <v>3.701297741902131E-4</v>
      </c>
      <c r="D895" s="4">
        <f t="shared" si="365"/>
        <v>3.701297741902131E-4</v>
      </c>
      <c r="E895" s="4">
        <f t="shared" si="365"/>
        <v>3.701297741902131E-4</v>
      </c>
      <c r="F895" s="4">
        <f t="shared" si="365"/>
        <v>3.701297741902131E-4</v>
      </c>
      <c r="G895" s="4">
        <f t="shared" si="365"/>
        <v>3.701297741902131E-4</v>
      </c>
      <c r="H895" s="4">
        <f t="shared" si="365"/>
        <v>3.701297741902131E-4</v>
      </c>
      <c r="I895" s="4">
        <f t="shared" si="365"/>
        <v>3.701297741902131E-4</v>
      </c>
      <c r="J895" s="4">
        <f t="shared" si="365"/>
        <v>3.701297741902131E-4</v>
      </c>
      <c r="K895" s="4">
        <f t="shared" si="365"/>
        <v>3.701297741902131E-4</v>
      </c>
      <c r="L895" s="4">
        <f t="shared" si="365"/>
        <v>3.701297741902131E-4</v>
      </c>
      <c r="M895" s="4">
        <f t="shared" si="365"/>
        <v>3.701297741902131E-4</v>
      </c>
      <c r="N895" t="s">
        <v>242</v>
      </c>
      <c r="O895" t="s">
        <v>326</v>
      </c>
      <c r="P895" t="s">
        <v>324</v>
      </c>
      <c r="Q895" t="s">
        <v>245</v>
      </c>
    </row>
    <row r="896" spans="1:17" x14ac:dyDescent="0.25">
      <c r="A896" t="s">
        <v>324</v>
      </c>
      <c r="B896" t="s">
        <v>175</v>
      </c>
      <c r="C896" s="4">
        <f t="shared" ref="C896:M896" si="366">0.00154025450133466 * 0.048985860156462%</f>
        <v>7.5450691607740762E-7</v>
      </c>
      <c r="D896" s="4">
        <f t="shared" si="366"/>
        <v>7.5450691607740762E-7</v>
      </c>
      <c r="E896" s="4">
        <f t="shared" si="366"/>
        <v>7.5450691607740762E-7</v>
      </c>
      <c r="F896" s="4">
        <f t="shared" si="366"/>
        <v>7.5450691607740762E-7</v>
      </c>
      <c r="G896" s="4">
        <f t="shared" si="366"/>
        <v>7.5450691607740762E-7</v>
      </c>
      <c r="H896" s="4">
        <f t="shared" si="366"/>
        <v>7.5450691607740762E-7</v>
      </c>
      <c r="I896" s="4">
        <f t="shared" si="366"/>
        <v>7.5450691607740762E-7</v>
      </c>
      <c r="J896" s="4">
        <f t="shared" si="366"/>
        <v>7.5450691607740762E-7</v>
      </c>
      <c r="K896" s="4">
        <f t="shared" si="366"/>
        <v>7.5450691607740762E-7</v>
      </c>
      <c r="L896" s="4">
        <f t="shared" si="366"/>
        <v>7.5450691607740762E-7</v>
      </c>
      <c r="M896" s="4">
        <f t="shared" si="366"/>
        <v>7.5450691607740762E-7</v>
      </c>
      <c r="N896" t="s">
        <v>242</v>
      </c>
      <c r="O896" t="s">
        <v>289</v>
      </c>
      <c r="P896" t="s">
        <v>324</v>
      </c>
      <c r="Q896" t="s">
        <v>245</v>
      </c>
    </row>
    <row r="897" spans="1:17" x14ac:dyDescent="0.25">
      <c r="A897" t="s">
        <v>324</v>
      </c>
      <c r="B897" t="s">
        <v>175</v>
      </c>
      <c r="C897" s="4">
        <f t="shared" ref="C897:M897" si="367">4.63438553364394E-10 * 0.048985860156462%</f>
        <v>2.2701936166221254E-13</v>
      </c>
      <c r="D897" s="4">
        <f t="shared" si="367"/>
        <v>2.2701936166221254E-13</v>
      </c>
      <c r="E897" s="4">
        <f t="shared" si="367"/>
        <v>2.2701936166221254E-13</v>
      </c>
      <c r="F897" s="4">
        <f t="shared" si="367"/>
        <v>2.2701936166221254E-13</v>
      </c>
      <c r="G897" s="4">
        <f t="shared" si="367"/>
        <v>2.2701936166221254E-13</v>
      </c>
      <c r="H897" s="4">
        <f t="shared" si="367"/>
        <v>2.2701936166221254E-13</v>
      </c>
      <c r="I897" s="4">
        <f t="shared" si="367"/>
        <v>2.2701936166221254E-13</v>
      </c>
      <c r="J897" s="4">
        <f t="shared" si="367"/>
        <v>2.2701936166221254E-13</v>
      </c>
      <c r="K897" s="4">
        <f t="shared" si="367"/>
        <v>2.2701936166221254E-13</v>
      </c>
      <c r="L897" s="4">
        <f t="shared" si="367"/>
        <v>2.2701936166221254E-13</v>
      </c>
      <c r="M897" s="4">
        <f t="shared" si="367"/>
        <v>2.2701936166221254E-13</v>
      </c>
      <c r="N897" t="s">
        <v>256</v>
      </c>
      <c r="O897" t="s">
        <v>322</v>
      </c>
      <c r="P897" t="s">
        <v>324</v>
      </c>
      <c r="Q897" t="s">
        <v>245</v>
      </c>
    </row>
    <row r="898" spans="1:17" x14ac:dyDescent="0.25">
      <c r="A898" t="s">
        <v>324</v>
      </c>
      <c r="B898" t="s">
        <v>175</v>
      </c>
      <c r="C898" s="4">
        <f t="shared" ref="C898:M898" si="368">1.80533525994585E-09 * 0.048985860156462%</f>
        <v>8.8435900579237375E-13</v>
      </c>
      <c r="D898" s="4">
        <f t="shared" si="368"/>
        <v>8.8435900579237375E-13</v>
      </c>
      <c r="E898" s="4">
        <f t="shared" si="368"/>
        <v>8.8435900579237375E-13</v>
      </c>
      <c r="F898" s="4">
        <f t="shared" si="368"/>
        <v>8.8435900579237375E-13</v>
      </c>
      <c r="G898" s="4">
        <f t="shared" si="368"/>
        <v>8.8435900579237375E-13</v>
      </c>
      <c r="H898" s="4">
        <f t="shared" si="368"/>
        <v>8.8435900579237375E-13</v>
      </c>
      <c r="I898" s="4">
        <f t="shared" si="368"/>
        <v>8.8435900579237375E-13</v>
      </c>
      <c r="J898" s="4">
        <f t="shared" si="368"/>
        <v>8.8435900579237375E-13</v>
      </c>
      <c r="K898" s="4">
        <f t="shared" si="368"/>
        <v>8.8435900579237375E-13</v>
      </c>
      <c r="L898" s="4">
        <f t="shared" si="368"/>
        <v>8.8435900579237375E-13</v>
      </c>
      <c r="M898" s="4">
        <f t="shared" si="368"/>
        <v>8.8435900579237375E-13</v>
      </c>
      <c r="N898" t="s">
        <v>256</v>
      </c>
      <c r="O898" t="s">
        <v>323</v>
      </c>
      <c r="P898" t="s">
        <v>324</v>
      </c>
      <c r="Q898" t="s">
        <v>245</v>
      </c>
    </row>
    <row r="899" spans="1:17" x14ac:dyDescent="0.25">
      <c r="A899" t="s">
        <v>324</v>
      </c>
      <c r="B899" t="s">
        <v>175</v>
      </c>
      <c r="C899" s="4">
        <f t="shared" ref="C899:M899" si="369">0.000343246436607167 * 0.048985860156462%</f>
        <v>1.681422194284258E-7</v>
      </c>
      <c r="D899" s="4">
        <f t="shared" si="369"/>
        <v>1.681422194284258E-7</v>
      </c>
      <c r="E899" s="4">
        <f t="shared" si="369"/>
        <v>1.681422194284258E-7</v>
      </c>
      <c r="F899" s="4">
        <f t="shared" si="369"/>
        <v>1.681422194284258E-7</v>
      </c>
      <c r="G899" s="4">
        <f t="shared" si="369"/>
        <v>1.681422194284258E-7</v>
      </c>
      <c r="H899" s="4">
        <f t="shared" si="369"/>
        <v>1.681422194284258E-7</v>
      </c>
      <c r="I899" s="4">
        <f t="shared" si="369"/>
        <v>1.681422194284258E-7</v>
      </c>
      <c r="J899" s="4">
        <f t="shared" si="369"/>
        <v>1.681422194284258E-7</v>
      </c>
      <c r="K899" s="4">
        <f t="shared" si="369"/>
        <v>1.681422194284258E-7</v>
      </c>
      <c r="L899" s="4">
        <f t="shared" si="369"/>
        <v>1.681422194284258E-7</v>
      </c>
      <c r="M899" s="4">
        <f t="shared" si="369"/>
        <v>1.681422194284258E-7</v>
      </c>
      <c r="N899" t="s">
        <v>256</v>
      </c>
      <c r="O899" t="s">
        <v>280</v>
      </c>
      <c r="P899" t="s">
        <v>324</v>
      </c>
      <c r="Q899" t="s">
        <v>245</v>
      </c>
    </row>
    <row r="900" spans="1:17" x14ac:dyDescent="0.25">
      <c r="A900" t="s">
        <v>324</v>
      </c>
      <c r="B900" t="s">
        <v>176</v>
      </c>
      <c r="C900" s="4">
        <f t="shared" ref="C900:M900" si="370">0.212937718373242 * 0.00317156932752421%</f>
        <v>6.7534673626556278E-6</v>
      </c>
      <c r="D900" s="4">
        <f t="shared" si="370"/>
        <v>6.7534673626556278E-6</v>
      </c>
      <c r="E900" s="4">
        <f t="shared" si="370"/>
        <v>6.7534673626556278E-6</v>
      </c>
      <c r="F900" s="4">
        <f t="shared" si="370"/>
        <v>6.7534673626556278E-6</v>
      </c>
      <c r="G900" s="4">
        <f t="shared" si="370"/>
        <v>6.7534673626556278E-6</v>
      </c>
      <c r="H900" s="4">
        <f t="shared" si="370"/>
        <v>6.7534673626556278E-6</v>
      </c>
      <c r="I900" s="4">
        <f t="shared" si="370"/>
        <v>6.7534673626556278E-6</v>
      </c>
      <c r="J900" s="4">
        <f t="shared" si="370"/>
        <v>6.7534673626556278E-6</v>
      </c>
      <c r="K900" s="4">
        <f t="shared" si="370"/>
        <v>6.7534673626556278E-6</v>
      </c>
      <c r="L900" s="4">
        <f t="shared" si="370"/>
        <v>6.7534673626556278E-6</v>
      </c>
      <c r="M900" s="4">
        <f t="shared" si="370"/>
        <v>6.7534673626556278E-6</v>
      </c>
      <c r="N900" t="s">
        <v>242</v>
      </c>
      <c r="O900" t="s">
        <v>327</v>
      </c>
      <c r="P900" t="s">
        <v>324</v>
      </c>
      <c r="Q900" t="s">
        <v>245</v>
      </c>
    </row>
    <row r="901" spans="1:17" x14ac:dyDescent="0.25">
      <c r="A901" t="s">
        <v>324</v>
      </c>
      <c r="B901" t="s">
        <v>176</v>
      </c>
      <c r="C901" s="4">
        <f t="shared" ref="C901:M901" si="371">0.755584923910716 * 0.00317156932752421%</f>
        <v>2.3963899690149411E-5</v>
      </c>
      <c r="D901" s="4">
        <f t="shared" si="371"/>
        <v>2.3963899690149411E-5</v>
      </c>
      <c r="E901" s="4">
        <f t="shared" si="371"/>
        <v>2.3963899690149411E-5</v>
      </c>
      <c r="F901" s="4">
        <f t="shared" si="371"/>
        <v>2.3963899690149411E-5</v>
      </c>
      <c r="G901" s="4">
        <f t="shared" si="371"/>
        <v>2.3963899690149411E-5</v>
      </c>
      <c r="H901" s="4">
        <f t="shared" si="371"/>
        <v>2.3963899690149411E-5</v>
      </c>
      <c r="I901" s="4">
        <f t="shared" si="371"/>
        <v>2.3963899690149411E-5</v>
      </c>
      <c r="J901" s="4">
        <f t="shared" si="371"/>
        <v>2.3963899690149411E-5</v>
      </c>
      <c r="K901" s="4">
        <f t="shared" si="371"/>
        <v>2.3963899690149411E-5</v>
      </c>
      <c r="L901" s="4">
        <f t="shared" si="371"/>
        <v>2.3963899690149411E-5</v>
      </c>
      <c r="M901" s="4">
        <f t="shared" si="371"/>
        <v>2.3963899690149411E-5</v>
      </c>
      <c r="N901" t="s">
        <v>242</v>
      </c>
      <c r="O901" t="s">
        <v>326</v>
      </c>
      <c r="P901" t="s">
        <v>324</v>
      </c>
      <c r="Q901" t="s">
        <v>245</v>
      </c>
    </row>
    <row r="902" spans="1:17" x14ac:dyDescent="0.25">
      <c r="A902" t="s">
        <v>324</v>
      </c>
      <c r="B902" t="s">
        <v>176</v>
      </c>
      <c r="C902" s="4">
        <f t="shared" ref="C902:M902" si="372">0.00154025450133466 * 0.00317156932752421%</f>
        <v>4.8850239330141055E-8</v>
      </c>
      <c r="D902" s="4">
        <f t="shared" si="372"/>
        <v>4.8850239330141055E-8</v>
      </c>
      <c r="E902" s="4">
        <f t="shared" si="372"/>
        <v>4.8850239330141055E-8</v>
      </c>
      <c r="F902" s="4">
        <f t="shared" si="372"/>
        <v>4.8850239330141055E-8</v>
      </c>
      <c r="G902" s="4">
        <f t="shared" si="372"/>
        <v>4.8850239330141055E-8</v>
      </c>
      <c r="H902" s="4">
        <f t="shared" si="372"/>
        <v>4.8850239330141055E-8</v>
      </c>
      <c r="I902" s="4">
        <f t="shared" si="372"/>
        <v>4.8850239330141055E-8</v>
      </c>
      <c r="J902" s="4">
        <f t="shared" si="372"/>
        <v>4.8850239330141055E-8</v>
      </c>
      <c r="K902" s="4">
        <f t="shared" si="372"/>
        <v>4.8850239330141055E-8</v>
      </c>
      <c r="L902" s="4">
        <f t="shared" si="372"/>
        <v>4.8850239330141055E-8</v>
      </c>
      <c r="M902" s="4">
        <f t="shared" si="372"/>
        <v>4.8850239330141055E-8</v>
      </c>
      <c r="N902" t="s">
        <v>242</v>
      </c>
      <c r="O902" t="s">
        <v>289</v>
      </c>
      <c r="P902" t="s">
        <v>324</v>
      </c>
      <c r="Q902" t="s">
        <v>245</v>
      </c>
    </row>
    <row r="903" spans="1:17" x14ac:dyDescent="0.25">
      <c r="A903" t="s">
        <v>324</v>
      </c>
      <c r="B903" t="s">
        <v>176</v>
      </c>
      <c r="C903" s="4">
        <f t="shared" ref="C903:M903" si="373">4.63438553364394E-10 * 0.00317156932752421%</f>
        <v>1.4698275010427038E-14</v>
      </c>
      <c r="D903" s="4">
        <f t="shared" si="373"/>
        <v>1.4698275010427038E-14</v>
      </c>
      <c r="E903" s="4">
        <f t="shared" si="373"/>
        <v>1.4698275010427038E-14</v>
      </c>
      <c r="F903" s="4">
        <f t="shared" si="373"/>
        <v>1.4698275010427038E-14</v>
      </c>
      <c r="G903" s="4">
        <f t="shared" si="373"/>
        <v>1.4698275010427038E-14</v>
      </c>
      <c r="H903" s="4">
        <f t="shared" si="373"/>
        <v>1.4698275010427038E-14</v>
      </c>
      <c r="I903" s="4">
        <f t="shared" si="373"/>
        <v>1.4698275010427038E-14</v>
      </c>
      <c r="J903" s="4">
        <f t="shared" si="373"/>
        <v>1.4698275010427038E-14</v>
      </c>
      <c r="K903" s="4">
        <f t="shared" si="373"/>
        <v>1.4698275010427038E-14</v>
      </c>
      <c r="L903" s="4">
        <f t="shared" si="373"/>
        <v>1.4698275010427038E-14</v>
      </c>
      <c r="M903" s="4">
        <f t="shared" si="373"/>
        <v>1.4698275010427038E-14</v>
      </c>
      <c r="N903" t="s">
        <v>256</v>
      </c>
      <c r="O903" t="s">
        <v>322</v>
      </c>
      <c r="P903" t="s">
        <v>324</v>
      </c>
      <c r="Q903" t="s">
        <v>245</v>
      </c>
    </row>
    <row r="904" spans="1:17" x14ac:dyDescent="0.25">
      <c r="A904" t="s">
        <v>324</v>
      </c>
      <c r="B904" t="s">
        <v>176</v>
      </c>
      <c r="C904" s="4">
        <f t="shared" ref="C904:M904" si="374">1.80533525994585E-09 * 0.00317156932752421%</f>
        <v>5.7257459363422044E-14</v>
      </c>
      <c r="D904" s="4">
        <f t="shared" si="374"/>
        <v>5.7257459363422044E-14</v>
      </c>
      <c r="E904" s="4">
        <f t="shared" si="374"/>
        <v>5.7257459363422044E-14</v>
      </c>
      <c r="F904" s="4">
        <f t="shared" si="374"/>
        <v>5.7257459363422044E-14</v>
      </c>
      <c r="G904" s="4">
        <f t="shared" si="374"/>
        <v>5.7257459363422044E-14</v>
      </c>
      <c r="H904" s="4">
        <f t="shared" si="374"/>
        <v>5.7257459363422044E-14</v>
      </c>
      <c r="I904" s="4">
        <f t="shared" si="374"/>
        <v>5.7257459363422044E-14</v>
      </c>
      <c r="J904" s="4">
        <f t="shared" si="374"/>
        <v>5.7257459363422044E-14</v>
      </c>
      <c r="K904" s="4">
        <f t="shared" si="374"/>
        <v>5.7257459363422044E-14</v>
      </c>
      <c r="L904" s="4">
        <f t="shared" si="374"/>
        <v>5.7257459363422044E-14</v>
      </c>
      <c r="M904" s="4">
        <f t="shared" si="374"/>
        <v>5.7257459363422044E-14</v>
      </c>
      <c r="N904" t="s">
        <v>256</v>
      </c>
      <c r="O904" t="s">
        <v>323</v>
      </c>
      <c r="P904" t="s">
        <v>324</v>
      </c>
      <c r="Q904" t="s">
        <v>245</v>
      </c>
    </row>
    <row r="905" spans="1:17" x14ac:dyDescent="0.25">
      <c r="A905" t="s">
        <v>324</v>
      </c>
      <c r="B905" t="s">
        <v>176</v>
      </c>
      <c r="C905" s="4">
        <f t="shared" ref="C905:M905" si="375">0.000343246436607167 * 0.00317156932752421%</f>
        <v>1.088629870125274E-8</v>
      </c>
      <c r="D905" s="4">
        <f t="shared" si="375"/>
        <v>1.088629870125274E-8</v>
      </c>
      <c r="E905" s="4">
        <f t="shared" si="375"/>
        <v>1.088629870125274E-8</v>
      </c>
      <c r="F905" s="4">
        <f t="shared" si="375"/>
        <v>1.088629870125274E-8</v>
      </c>
      <c r="G905" s="4">
        <f t="shared" si="375"/>
        <v>1.088629870125274E-8</v>
      </c>
      <c r="H905" s="4">
        <f t="shared" si="375"/>
        <v>1.088629870125274E-8</v>
      </c>
      <c r="I905" s="4">
        <f t="shared" si="375"/>
        <v>1.088629870125274E-8</v>
      </c>
      <c r="J905" s="4">
        <f t="shared" si="375"/>
        <v>1.088629870125274E-8</v>
      </c>
      <c r="K905" s="4">
        <f t="shared" si="375"/>
        <v>1.088629870125274E-8</v>
      </c>
      <c r="L905" s="4">
        <f t="shared" si="375"/>
        <v>1.088629870125274E-8</v>
      </c>
      <c r="M905" s="4">
        <f t="shared" si="375"/>
        <v>1.088629870125274E-8</v>
      </c>
      <c r="N905" t="s">
        <v>256</v>
      </c>
      <c r="O905" t="s">
        <v>280</v>
      </c>
      <c r="P905" t="s">
        <v>324</v>
      </c>
      <c r="Q905" t="s">
        <v>245</v>
      </c>
    </row>
    <row r="906" spans="1:17" x14ac:dyDescent="0.25">
      <c r="A906" t="s">
        <v>324</v>
      </c>
      <c r="B906" t="s">
        <v>132</v>
      </c>
      <c r="C906" s="4">
        <f t="shared" ref="C906:M906" si="376">0.212937718373242 * 0.0868609756323006%</f>
        <v>1.849597796681586E-4</v>
      </c>
      <c r="D906" s="4">
        <f t="shared" si="376"/>
        <v>1.849597796681586E-4</v>
      </c>
      <c r="E906" s="4">
        <f t="shared" si="376"/>
        <v>1.849597796681586E-4</v>
      </c>
      <c r="F906" s="4">
        <f t="shared" si="376"/>
        <v>1.849597796681586E-4</v>
      </c>
      <c r="G906" s="4">
        <f t="shared" si="376"/>
        <v>1.849597796681586E-4</v>
      </c>
      <c r="H906" s="4">
        <f t="shared" si="376"/>
        <v>1.849597796681586E-4</v>
      </c>
      <c r="I906" s="4">
        <f t="shared" si="376"/>
        <v>1.849597796681586E-4</v>
      </c>
      <c r="J906" s="4">
        <f t="shared" si="376"/>
        <v>1.849597796681586E-4</v>
      </c>
      <c r="K906" s="4">
        <f t="shared" si="376"/>
        <v>1.849597796681586E-4</v>
      </c>
      <c r="L906" s="4">
        <f t="shared" si="376"/>
        <v>1.849597796681586E-4</v>
      </c>
      <c r="M906" s="4">
        <f t="shared" si="376"/>
        <v>1.849597796681586E-4</v>
      </c>
      <c r="N906" t="s">
        <v>242</v>
      </c>
      <c r="O906" t="s">
        <v>327</v>
      </c>
      <c r="P906" t="s">
        <v>324</v>
      </c>
      <c r="Q906" t="s">
        <v>245</v>
      </c>
    </row>
    <row r="907" spans="1:17" x14ac:dyDescent="0.25">
      <c r="A907" t="s">
        <v>324</v>
      </c>
      <c r="B907" t="s">
        <v>132</v>
      </c>
      <c r="C907" s="4">
        <f t="shared" ref="C907:M907" si="377">0.755584923910716 * 0.0868609756323006%</f>
        <v>6.5630843663942403E-4</v>
      </c>
      <c r="D907" s="4">
        <f t="shared" si="377"/>
        <v>6.5630843663942403E-4</v>
      </c>
      <c r="E907" s="4">
        <f t="shared" si="377"/>
        <v>6.5630843663942403E-4</v>
      </c>
      <c r="F907" s="4">
        <f t="shared" si="377"/>
        <v>6.5630843663942403E-4</v>
      </c>
      <c r="G907" s="4">
        <f t="shared" si="377"/>
        <v>6.5630843663942403E-4</v>
      </c>
      <c r="H907" s="4">
        <f t="shared" si="377"/>
        <v>6.5630843663942403E-4</v>
      </c>
      <c r="I907" s="4">
        <f t="shared" si="377"/>
        <v>6.5630843663942403E-4</v>
      </c>
      <c r="J907" s="4">
        <f t="shared" si="377"/>
        <v>6.5630843663942403E-4</v>
      </c>
      <c r="K907" s="4">
        <f t="shared" si="377"/>
        <v>6.5630843663942403E-4</v>
      </c>
      <c r="L907" s="4">
        <f t="shared" si="377"/>
        <v>6.5630843663942403E-4</v>
      </c>
      <c r="M907" s="4">
        <f t="shared" si="377"/>
        <v>6.5630843663942403E-4</v>
      </c>
      <c r="N907" t="s">
        <v>242</v>
      </c>
      <c r="O907" t="s">
        <v>326</v>
      </c>
      <c r="P907" t="s">
        <v>324</v>
      </c>
      <c r="Q907" t="s">
        <v>245</v>
      </c>
    </row>
    <row r="908" spans="1:17" x14ac:dyDescent="0.25">
      <c r="A908" t="s">
        <v>324</v>
      </c>
      <c r="B908" t="s">
        <v>132</v>
      </c>
      <c r="C908" s="4">
        <f t="shared" ref="C908:M908" si="378">0.00154025450133466 * 0.0868609756323006%</f>
        <v>1.3378800870797122E-6</v>
      </c>
      <c r="D908" s="4">
        <f t="shared" si="378"/>
        <v>1.3378800870797122E-6</v>
      </c>
      <c r="E908" s="4">
        <f t="shared" si="378"/>
        <v>1.3378800870797122E-6</v>
      </c>
      <c r="F908" s="4">
        <f t="shared" si="378"/>
        <v>1.3378800870797122E-6</v>
      </c>
      <c r="G908" s="4">
        <f t="shared" si="378"/>
        <v>1.3378800870797122E-6</v>
      </c>
      <c r="H908" s="4">
        <f t="shared" si="378"/>
        <v>1.3378800870797122E-6</v>
      </c>
      <c r="I908" s="4">
        <f t="shared" si="378"/>
        <v>1.3378800870797122E-6</v>
      </c>
      <c r="J908" s="4">
        <f t="shared" si="378"/>
        <v>1.3378800870797122E-6</v>
      </c>
      <c r="K908" s="4">
        <f t="shared" si="378"/>
        <v>1.3378800870797122E-6</v>
      </c>
      <c r="L908" s="4">
        <f t="shared" si="378"/>
        <v>1.3378800870797122E-6</v>
      </c>
      <c r="M908" s="4">
        <f t="shared" si="378"/>
        <v>1.3378800870797122E-6</v>
      </c>
      <c r="N908" t="s">
        <v>242</v>
      </c>
      <c r="O908" t="s">
        <v>289</v>
      </c>
      <c r="P908" t="s">
        <v>324</v>
      </c>
      <c r="Q908" t="s">
        <v>245</v>
      </c>
    </row>
    <row r="909" spans="1:17" x14ac:dyDescent="0.25">
      <c r="A909" t="s">
        <v>324</v>
      </c>
      <c r="B909" t="s">
        <v>132</v>
      </c>
      <c r="C909" s="4">
        <f t="shared" ref="C909:M909" si="379">4.63438553364394E-10 * 0.0868609756323006%</f>
        <v>4.0254724890853267E-13</v>
      </c>
      <c r="D909" s="4">
        <f t="shared" si="379"/>
        <v>4.0254724890853267E-13</v>
      </c>
      <c r="E909" s="4">
        <f t="shared" si="379"/>
        <v>4.0254724890853267E-13</v>
      </c>
      <c r="F909" s="4">
        <f t="shared" si="379"/>
        <v>4.0254724890853267E-13</v>
      </c>
      <c r="G909" s="4">
        <f t="shared" si="379"/>
        <v>4.0254724890853267E-13</v>
      </c>
      <c r="H909" s="4">
        <f t="shared" si="379"/>
        <v>4.0254724890853267E-13</v>
      </c>
      <c r="I909" s="4">
        <f t="shared" si="379"/>
        <v>4.0254724890853267E-13</v>
      </c>
      <c r="J909" s="4">
        <f t="shared" si="379"/>
        <v>4.0254724890853267E-13</v>
      </c>
      <c r="K909" s="4">
        <f t="shared" si="379"/>
        <v>4.0254724890853267E-13</v>
      </c>
      <c r="L909" s="4">
        <f t="shared" si="379"/>
        <v>4.0254724890853267E-13</v>
      </c>
      <c r="M909" s="4">
        <f t="shared" si="379"/>
        <v>4.0254724890853267E-13</v>
      </c>
      <c r="N909" t="s">
        <v>256</v>
      </c>
      <c r="O909" t="s">
        <v>322</v>
      </c>
      <c r="P909" t="s">
        <v>324</v>
      </c>
      <c r="Q909" t="s">
        <v>245</v>
      </c>
    </row>
    <row r="910" spans="1:17" x14ac:dyDescent="0.25">
      <c r="A910" t="s">
        <v>324</v>
      </c>
      <c r="B910" t="s">
        <v>132</v>
      </c>
      <c r="C910" s="4">
        <f t="shared" ref="C910:M910" si="380">1.80533525994585E-09 * 0.0868609756323006%</f>
        <v>1.5681318202228954E-12</v>
      </c>
      <c r="D910" s="4">
        <f t="shared" si="380"/>
        <v>1.5681318202228954E-12</v>
      </c>
      <c r="E910" s="4">
        <f t="shared" si="380"/>
        <v>1.5681318202228954E-12</v>
      </c>
      <c r="F910" s="4">
        <f t="shared" si="380"/>
        <v>1.5681318202228954E-12</v>
      </c>
      <c r="G910" s="4">
        <f t="shared" si="380"/>
        <v>1.5681318202228954E-12</v>
      </c>
      <c r="H910" s="4">
        <f t="shared" si="380"/>
        <v>1.5681318202228954E-12</v>
      </c>
      <c r="I910" s="4">
        <f t="shared" si="380"/>
        <v>1.5681318202228954E-12</v>
      </c>
      <c r="J910" s="4">
        <f t="shared" si="380"/>
        <v>1.5681318202228954E-12</v>
      </c>
      <c r="K910" s="4">
        <f t="shared" si="380"/>
        <v>1.5681318202228954E-12</v>
      </c>
      <c r="L910" s="4">
        <f t="shared" si="380"/>
        <v>1.5681318202228954E-12</v>
      </c>
      <c r="M910" s="4">
        <f t="shared" si="380"/>
        <v>1.5681318202228954E-12</v>
      </c>
      <c r="N910" t="s">
        <v>256</v>
      </c>
      <c r="O910" t="s">
        <v>323</v>
      </c>
      <c r="P910" t="s">
        <v>324</v>
      </c>
      <c r="Q910" t="s">
        <v>245</v>
      </c>
    </row>
    <row r="911" spans="1:17" x14ac:dyDescent="0.25">
      <c r="A911" t="s">
        <v>324</v>
      </c>
      <c r="B911" t="s">
        <v>132</v>
      </c>
      <c r="C911" s="4">
        <f t="shared" ref="C911:M911" si="381">0.000343246436607167 * 0.0868609756323006%</f>
        <v>2.9814720366009142E-7</v>
      </c>
      <c r="D911" s="4">
        <f t="shared" si="381"/>
        <v>2.9814720366009142E-7</v>
      </c>
      <c r="E911" s="4">
        <f t="shared" si="381"/>
        <v>2.9814720366009142E-7</v>
      </c>
      <c r="F911" s="4">
        <f t="shared" si="381"/>
        <v>2.9814720366009142E-7</v>
      </c>
      <c r="G911" s="4">
        <f t="shared" si="381"/>
        <v>2.9814720366009142E-7</v>
      </c>
      <c r="H911" s="4">
        <f t="shared" si="381"/>
        <v>2.9814720366009142E-7</v>
      </c>
      <c r="I911" s="4">
        <f t="shared" si="381"/>
        <v>2.9814720366009142E-7</v>
      </c>
      <c r="J911" s="4">
        <f t="shared" si="381"/>
        <v>2.9814720366009142E-7</v>
      </c>
      <c r="K911" s="4">
        <f t="shared" si="381"/>
        <v>2.9814720366009142E-7</v>
      </c>
      <c r="L911" s="4">
        <f t="shared" si="381"/>
        <v>2.9814720366009142E-7</v>
      </c>
      <c r="M911" s="4">
        <f t="shared" si="381"/>
        <v>2.9814720366009142E-7</v>
      </c>
      <c r="N911" t="s">
        <v>256</v>
      </c>
      <c r="O911" t="s">
        <v>280</v>
      </c>
      <c r="P911" t="s">
        <v>324</v>
      </c>
      <c r="Q911" t="s">
        <v>245</v>
      </c>
    </row>
    <row r="912" spans="1:17" x14ac:dyDescent="0.25">
      <c r="A912" t="s">
        <v>324</v>
      </c>
      <c r="B912" t="s">
        <v>133</v>
      </c>
      <c r="C912" s="4">
        <f t="shared" ref="C912:M912" si="382">0.212937718373242 * 0.000216522964175431%</f>
        <v>4.6105905966927499E-7</v>
      </c>
      <c r="D912" s="4">
        <f t="shared" si="382"/>
        <v>4.6105905966927499E-7</v>
      </c>
      <c r="E912" s="4">
        <f t="shared" si="382"/>
        <v>4.6105905966927499E-7</v>
      </c>
      <c r="F912" s="4">
        <f t="shared" si="382"/>
        <v>4.6105905966927499E-7</v>
      </c>
      <c r="G912" s="4">
        <f t="shared" si="382"/>
        <v>4.6105905966927499E-7</v>
      </c>
      <c r="H912" s="4">
        <f t="shared" si="382"/>
        <v>4.6105905966927499E-7</v>
      </c>
      <c r="I912" s="4">
        <f t="shared" si="382"/>
        <v>4.6105905966927499E-7</v>
      </c>
      <c r="J912" s="4">
        <f t="shared" si="382"/>
        <v>4.6105905966927499E-7</v>
      </c>
      <c r="K912" s="4">
        <f t="shared" si="382"/>
        <v>4.6105905966927499E-7</v>
      </c>
      <c r="L912" s="4">
        <f t="shared" si="382"/>
        <v>4.6105905966927499E-7</v>
      </c>
      <c r="M912" s="4">
        <f t="shared" si="382"/>
        <v>4.6105905966927499E-7</v>
      </c>
      <c r="N912" t="s">
        <v>242</v>
      </c>
      <c r="O912" t="s">
        <v>327</v>
      </c>
      <c r="P912" t="s">
        <v>324</v>
      </c>
      <c r="Q912" t="s">
        <v>245</v>
      </c>
    </row>
    <row r="913" spans="1:17" x14ac:dyDescent="0.25">
      <c r="A913" t="s">
        <v>324</v>
      </c>
      <c r="B913" t="s">
        <v>133</v>
      </c>
      <c r="C913" s="4">
        <f t="shared" ref="C913:M913" si="383">0.755584923910716 * 0.000216522964175431%</f>
        <v>1.6360148741141572E-6</v>
      </c>
      <c r="D913" s="4">
        <f t="shared" si="383"/>
        <v>1.6360148741141572E-6</v>
      </c>
      <c r="E913" s="4">
        <f t="shared" si="383"/>
        <v>1.6360148741141572E-6</v>
      </c>
      <c r="F913" s="4">
        <f t="shared" si="383"/>
        <v>1.6360148741141572E-6</v>
      </c>
      <c r="G913" s="4">
        <f t="shared" si="383"/>
        <v>1.6360148741141572E-6</v>
      </c>
      <c r="H913" s="4">
        <f t="shared" si="383"/>
        <v>1.6360148741141572E-6</v>
      </c>
      <c r="I913" s="4">
        <f t="shared" si="383"/>
        <v>1.6360148741141572E-6</v>
      </c>
      <c r="J913" s="4">
        <f t="shared" si="383"/>
        <v>1.6360148741141572E-6</v>
      </c>
      <c r="K913" s="4">
        <f t="shared" si="383"/>
        <v>1.6360148741141572E-6</v>
      </c>
      <c r="L913" s="4">
        <f t="shared" si="383"/>
        <v>1.6360148741141572E-6</v>
      </c>
      <c r="M913" s="4">
        <f t="shared" si="383"/>
        <v>1.6360148741141572E-6</v>
      </c>
      <c r="N913" t="s">
        <v>242</v>
      </c>
      <c r="O913" t="s">
        <v>326</v>
      </c>
      <c r="P913" t="s">
        <v>324</v>
      </c>
      <c r="Q913" t="s">
        <v>245</v>
      </c>
    </row>
    <row r="914" spans="1:17" x14ac:dyDescent="0.25">
      <c r="A914" t="s">
        <v>324</v>
      </c>
      <c r="B914" t="s">
        <v>133</v>
      </c>
      <c r="C914" s="4">
        <f t="shared" ref="C914:M914" si="384">0.00154025450133466 * 0.000216522964175431%</f>
        <v>3.3350047021353097E-9</v>
      </c>
      <c r="D914" s="4">
        <f t="shared" si="384"/>
        <v>3.3350047021353097E-9</v>
      </c>
      <c r="E914" s="4">
        <f t="shared" si="384"/>
        <v>3.3350047021353097E-9</v>
      </c>
      <c r="F914" s="4">
        <f t="shared" si="384"/>
        <v>3.3350047021353097E-9</v>
      </c>
      <c r="G914" s="4">
        <f t="shared" si="384"/>
        <v>3.3350047021353097E-9</v>
      </c>
      <c r="H914" s="4">
        <f t="shared" si="384"/>
        <v>3.3350047021353097E-9</v>
      </c>
      <c r="I914" s="4">
        <f t="shared" si="384"/>
        <v>3.3350047021353097E-9</v>
      </c>
      <c r="J914" s="4">
        <f t="shared" si="384"/>
        <v>3.3350047021353097E-9</v>
      </c>
      <c r="K914" s="4">
        <f t="shared" si="384"/>
        <v>3.3350047021353097E-9</v>
      </c>
      <c r="L914" s="4">
        <f t="shared" si="384"/>
        <v>3.3350047021353097E-9</v>
      </c>
      <c r="M914" s="4">
        <f t="shared" si="384"/>
        <v>3.3350047021353097E-9</v>
      </c>
      <c r="N914" t="s">
        <v>242</v>
      </c>
      <c r="O914" t="s">
        <v>289</v>
      </c>
      <c r="P914" t="s">
        <v>324</v>
      </c>
      <c r="Q914" t="s">
        <v>245</v>
      </c>
    </row>
    <row r="915" spans="1:17" x14ac:dyDescent="0.25">
      <c r="A915" t="s">
        <v>324</v>
      </c>
      <c r="B915" t="s">
        <v>133</v>
      </c>
      <c r="C915" s="4">
        <f t="shared" ref="C915:M915" si="385">4.63438553364394E-10 * 0.000216522964175431%</f>
        <v>1.0034508928763225E-15</v>
      </c>
      <c r="D915" s="4">
        <f t="shared" si="385"/>
        <v>1.0034508928763225E-15</v>
      </c>
      <c r="E915" s="4">
        <f t="shared" si="385"/>
        <v>1.0034508928763225E-15</v>
      </c>
      <c r="F915" s="4">
        <f t="shared" si="385"/>
        <v>1.0034508928763225E-15</v>
      </c>
      <c r="G915" s="4">
        <f t="shared" si="385"/>
        <v>1.0034508928763225E-15</v>
      </c>
      <c r="H915" s="4">
        <f t="shared" si="385"/>
        <v>1.0034508928763225E-15</v>
      </c>
      <c r="I915" s="4">
        <f t="shared" si="385"/>
        <v>1.0034508928763225E-15</v>
      </c>
      <c r="J915" s="4">
        <f t="shared" si="385"/>
        <v>1.0034508928763225E-15</v>
      </c>
      <c r="K915" s="4">
        <f t="shared" si="385"/>
        <v>1.0034508928763225E-15</v>
      </c>
      <c r="L915" s="4">
        <f t="shared" si="385"/>
        <v>1.0034508928763225E-15</v>
      </c>
      <c r="M915" s="4">
        <f t="shared" si="385"/>
        <v>1.0034508928763225E-15</v>
      </c>
      <c r="N915" t="s">
        <v>256</v>
      </c>
      <c r="O915" t="s">
        <v>322</v>
      </c>
      <c r="P915" t="s">
        <v>324</v>
      </c>
      <c r="Q915" t="s">
        <v>245</v>
      </c>
    </row>
    <row r="916" spans="1:17" x14ac:dyDescent="0.25">
      <c r="A916" t="s">
        <v>324</v>
      </c>
      <c r="B916" t="s">
        <v>133</v>
      </c>
      <c r="C916" s="4">
        <f t="shared" ref="C916:M916" si="386">1.80533525994585E-09 * 0.000216522964175431%</f>
        <v>3.9089654181389771E-15</v>
      </c>
      <c r="D916" s="4">
        <f t="shared" si="386"/>
        <v>3.9089654181389771E-15</v>
      </c>
      <c r="E916" s="4">
        <f t="shared" si="386"/>
        <v>3.9089654181389771E-15</v>
      </c>
      <c r="F916" s="4">
        <f t="shared" si="386"/>
        <v>3.9089654181389771E-15</v>
      </c>
      <c r="G916" s="4">
        <f t="shared" si="386"/>
        <v>3.9089654181389771E-15</v>
      </c>
      <c r="H916" s="4">
        <f t="shared" si="386"/>
        <v>3.9089654181389771E-15</v>
      </c>
      <c r="I916" s="4">
        <f t="shared" si="386"/>
        <v>3.9089654181389771E-15</v>
      </c>
      <c r="J916" s="4">
        <f t="shared" si="386"/>
        <v>3.9089654181389771E-15</v>
      </c>
      <c r="K916" s="4">
        <f t="shared" si="386"/>
        <v>3.9089654181389771E-15</v>
      </c>
      <c r="L916" s="4">
        <f t="shared" si="386"/>
        <v>3.9089654181389771E-15</v>
      </c>
      <c r="M916" s="4">
        <f t="shared" si="386"/>
        <v>3.9089654181389771E-15</v>
      </c>
      <c r="N916" t="s">
        <v>256</v>
      </c>
      <c r="O916" t="s">
        <v>323</v>
      </c>
      <c r="P916" t="s">
        <v>324</v>
      </c>
      <c r="Q916" t="s">
        <v>245</v>
      </c>
    </row>
    <row r="917" spans="1:17" x14ac:dyDescent="0.25">
      <c r="A917" t="s">
        <v>324</v>
      </c>
      <c r="B917" t="s">
        <v>133</v>
      </c>
      <c r="C917" s="4">
        <f t="shared" ref="C917:M917" si="387">0.000343246436607167 * 0.000216522964175431%</f>
        <v>7.4320735896837972E-10</v>
      </c>
      <c r="D917" s="4">
        <f t="shared" si="387"/>
        <v>7.4320735896837972E-10</v>
      </c>
      <c r="E917" s="4">
        <f t="shared" si="387"/>
        <v>7.4320735896837972E-10</v>
      </c>
      <c r="F917" s="4">
        <f t="shared" si="387"/>
        <v>7.4320735896837972E-10</v>
      </c>
      <c r="G917" s="4">
        <f t="shared" si="387"/>
        <v>7.4320735896837972E-10</v>
      </c>
      <c r="H917" s="4">
        <f t="shared" si="387"/>
        <v>7.4320735896837972E-10</v>
      </c>
      <c r="I917" s="4">
        <f t="shared" si="387"/>
        <v>7.4320735896837972E-10</v>
      </c>
      <c r="J917" s="4">
        <f t="shared" si="387"/>
        <v>7.4320735896837972E-10</v>
      </c>
      <c r="K917" s="4">
        <f t="shared" si="387"/>
        <v>7.4320735896837972E-10</v>
      </c>
      <c r="L917" s="4">
        <f t="shared" si="387"/>
        <v>7.4320735896837972E-10</v>
      </c>
      <c r="M917" s="4">
        <f t="shared" si="387"/>
        <v>7.4320735896837972E-10</v>
      </c>
      <c r="N917" t="s">
        <v>256</v>
      </c>
      <c r="O917" t="s">
        <v>280</v>
      </c>
      <c r="P917" t="s">
        <v>324</v>
      </c>
      <c r="Q917" t="s">
        <v>245</v>
      </c>
    </row>
    <row r="918" spans="1:17" x14ac:dyDescent="0.25">
      <c r="A918" t="s">
        <v>324</v>
      </c>
      <c r="B918" t="s">
        <v>146</v>
      </c>
      <c r="C918" s="4">
        <f t="shared" ref="C918:M918" si="388">0.212937718373242 * 1.33487145560622%</f>
        <v>2.8424448207835691E-3</v>
      </c>
      <c r="D918" s="4">
        <f t="shared" si="388"/>
        <v>2.8424448207835691E-3</v>
      </c>
      <c r="E918" s="4">
        <f t="shared" si="388"/>
        <v>2.8424448207835691E-3</v>
      </c>
      <c r="F918" s="4">
        <f t="shared" si="388"/>
        <v>2.8424448207835691E-3</v>
      </c>
      <c r="G918" s="4">
        <f t="shared" si="388"/>
        <v>2.8424448207835691E-3</v>
      </c>
      <c r="H918" s="4">
        <f t="shared" si="388"/>
        <v>2.8424448207835691E-3</v>
      </c>
      <c r="I918" s="4">
        <f t="shared" si="388"/>
        <v>2.8424448207835691E-3</v>
      </c>
      <c r="J918" s="4">
        <f t="shared" si="388"/>
        <v>2.8424448207835691E-3</v>
      </c>
      <c r="K918" s="4">
        <f t="shared" si="388"/>
        <v>2.8424448207835691E-3</v>
      </c>
      <c r="L918" s="4">
        <f t="shared" si="388"/>
        <v>2.8424448207835691E-3</v>
      </c>
      <c r="M918" s="4">
        <f t="shared" si="388"/>
        <v>2.8424448207835691E-3</v>
      </c>
      <c r="N918" t="s">
        <v>242</v>
      </c>
      <c r="O918" t="s">
        <v>327</v>
      </c>
      <c r="P918" t="s">
        <v>324</v>
      </c>
      <c r="Q918" t="s">
        <v>245</v>
      </c>
    </row>
    <row r="919" spans="1:17" x14ac:dyDescent="0.25">
      <c r="A919" t="s">
        <v>324</v>
      </c>
      <c r="B919" t="s">
        <v>146</v>
      </c>
      <c r="C919" s="4">
        <f t="shared" ref="C919:M919" si="389">0.755584923910716 * 1.33487145560622%</f>
        <v>1.0086087472148125E-2</v>
      </c>
      <c r="D919" s="4">
        <f t="shared" si="389"/>
        <v>1.0086087472148125E-2</v>
      </c>
      <c r="E919" s="4">
        <f t="shared" si="389"/>
        <v>1.0086087472148125E-2</v>
      </c>
      <c r="F919" s="4">
        <f t="shared" si="389"/>
        <v>1.0086087472148125E-2</v>
      </c>
      <c r="G919" s="4">
        <f t="shared" si="389"/>
        <v>1.0086087472148125E-2</v>
      </c>
      <c r="H919" s="4">
        <f t="shared" si="389"/>
        <v>1.0086087472148125E-2</v>
      </c>
      <c r="I919" s="4">
        <f t="shared" si="389"/>
        <v>1.0086087472148125E-2</v>
      </c>
      <c r="J919" s="4">
        <f t="shared" si="389"/>
        <v>1.0086087472148125E-2</v>
      </c>
      <c r="K919" s="4">
        <f t="shared" si="389"/>
        <v>1.0086087472148125E-2</v>
      </c>
      <c r="L919" s="4">
        <f t="shared" si="389"/>
        <v>1.0086087472148125E-2</v>
      </c>
      <c r="M919" s="4">
        <f t="shared" si="389"/>
        <v>1.0086087472148125E-2</v>
      </c>
      <c r="N919" t="s">
        <v>242</v>
      </c>
      <c r="O919" t="s">
        <v>326</v>
      </c>
      <c r="P919" t="s">
        <v>324</v>
      </c>
      <c r="Q919" t="s">
        <v>245</v>
      </c>
    </row>
    <row r="920" spans="1:17" x14ac:dyDescent="0.25">
      <c r="A920" t="s">
        <v>324</v>
      </c>
      <c r="B920" t="s">
        <v>146</v>
      </c>
      <c r="C920" s="4">
        <f t="shared" ref="C920:M920" si="390">0.00154025450133466 * 1.33487145560622%</f>
        <v>2.0560417682006301E-5</v>
      </c>
      <c r="D920" s="4">
        <f t="shared" si="390"/>
        <v>2.0560417682006301E-5</v>
      </c>
      <c r="E920" s="4">
        <f t="shared" si="390"/>
        <v>2.0560417682006301E-5</v>
      </c>
      <c r="F920" s="4">
        <f t="shared" si="390"/>
        <v>2.0560417682006301E-5</v>
      </c>
      <c r="G920" s="4">
        <f t="shared" si="390"/>
        <v>2.0560417682006301E-5</v>
      </c>
      <c r="H920" s="4">
        <f t="shared" si="390"/>
        <v>2.0560417682006301E-5</v>
      </c>
      <c r="I920" s="4">
        <f t="shared" si="390"/>
        <v>2.0560417682006301E-5</v>
      </c>
      <c r="J920" s="4">
        <f t="shared" si="390"/>
        <v>2.0560417682006301E-5</v>
      </c>
      <c r="K920" s="4">
        <f t="shared" si="390"/>
        <v>2.0560417682006301E-5</v>
      </c>
      <c r="L920" s="4">
        <f t="shared" si="390"/>
        <v>2.0560417682006301E-5</v>
      </c>
      <c r="M920" s="4">
        <f t="shared" si="390"/>
        <v>2.0560417682006301E-5</v>
      </c>
      <c r="N920" t="s">
        <v>242</v>
      </c>
      <c r="O920" t="s">
        <v>289</v>
      </c>
      <c r="P920" t="s">
        <v>324</v>
      </c>
      <c r="Q920" t="s">
        <v>245</v>
      </c>
    </row>
    <row r="921" spans="1:17" x14ac:dyDescent="0.25">
      <c r="A921" t="s">
        <v>324</v>
      </c>
      <c r="B921" t="s">
        <v>146</v>
      </c>
      <c r="C921" s="4">
        <f t="shared" ref="C921:M921" si="391">4.63438553364394E-10 * 1.33487145560622%</f>
        <v>6.1863089631356947E-12</v>
      </c>
      <c r="D921" s="4">
        <f t="shared" si="391"/>
        <v>6.1863089631356947E-12</v>
      </c>
      <c r="E921" s="4">
        <f t="shared" si="391"/>
        <v>6.1863089631356947E-12</v>
      </c>
      <c r="F921" s="4">
        <f t="shared" si="391"/>
        <v>6.1863089631356947E-12</v>
      </c>
      <c r="G921" s="4">
        <f t="shared" si="391"/>
        <v>6.1863089631356947E-12</v>
      </c>
      <c r="H921" s="4">
        <f t="shared" si="391"/>
        <v>6.1863089631356947E-12</v>
      </c>
      <c r="I921" s="4">
        <f t="shared" si="391"/>
        <v>6.1863089631356947E-12</v>
      </c>
      <c r="J921" s="4">
        <f t="shared" si="391"/>
        <v>6.1863089631356947E-12</v>
      </c>
      <c r="K921" s="4">
        <f t="shared" si="391"/>
        <v>6.1863089631356947E-12</v>
      </c>
      <c r="L921" s="4">
        <f t="shared" si="391"/>
        <v>6.1863089631356947E-12</v>
      </c>
      <c r="M921" s="4">
        <f t="shared" si="391"/>
        <v>6.1863089631356947E-12</v>
      </c>
      <c r="N921" t="s">
        <v>256</v>
      </c>
      <c r="O921" t="s">
        <v>322</v>
      </c>
      <c r="P921" t="s">
        <v>324</v>
      </c>
      <c r="Q921" t="s">
        <v>245</v>
      </c>
    </row>
    <row r="922" spans="1:17" x14ac:dyDescent="0.25">
      <c r="A922" t="s">
        <v>324</v>
      </c>
      <c r="B922" t="s">
        <v>146</v>
      </c>
      <c r="C922" s="4">
        <f t="shared" ref="C922:M922" si="392">1.80533525994585E-09 * 1.33487145560622%</f>
        <v>2.4098905063011505E-11</v>
      </c>
      <c r="D922" s="4">
        <f t="shared" si="392"/>
        <v>2.4098905063011505E-11</v>
      </c>
      <c r="E922" s="4">
        <f t="shared" si="392"/>
        <v>2.4098905063011505E-11</v>
      </c>
      <c r="F922" s="4">
        <f t="shared" si="392"/>
        <v>2.4098905063011505E-11</v>
      </c>
      <c r="G922" s="4">
        <f t="shared" si="392"/>
        <v>2.4098905063011505E-11</v>
      </c>
      <c r="H922" s="4">
        <f t="shared" si="392"/>
        <v>2.4098905063011505E-11</v>
      </c>
      <c r="I922" s="4">
        <f t="shared" si="392"/>
        <v>2.4098905063011505E-11</v>
      </c>
      <c r="J922" s="4">
        <f t="shared" si="392"/>
        <v>2.4098905063011505E-11</v>
      </c>
      <c r="K922" s="4">
        <f t="shared" si="392"/>
        <v>2.4098905063011505E-11</v>
      </c>
      <c r="L922" s="4">
        <f t="shared" si="392"/>
        <v>2.4098905063011505E-11</v>
      </c>
      <c r="M922" s="4">
        <f t="shared" si="392"/>
        <v>2.4098905063011505E-11</v>
      </c>
      <c r="N922" t="s">
        <v>256</v>
      </c>
      <c r="O922" t="s">
        <v>323</v>
      </c>
      <c r="P922" t="s">
        <v>324</v>
      </c>
      <c r="Q922" t="s">
        <v>245</v>
      </c>
    </row>
    <row r="923" spans="1:17" x14ac:dyDescent="0.25">
      <c r="A923" t="s">
        <v>324</v>
      </c>
      <c r="B923" t="s">
        <v>146</v>
      </c>
      <c r="C923" s="4">
        <f t="shared" ref="C923:M923" si="393">0.000343246436607167 * 1.33487145560622%</f>
        <v>4.5818987046545715E-6</v>
      </c>
      <c r="D923" s="4">
        <f t="shared" si="393"/>
        <v>4.5818987046545715E-6</v>
      </c>
      <c r="E923" s="4">
        <f t="shared" si="393"/>
        <v>4.5818987046545715E-6</v>
      </c>
      <c r="F923" s="4">
        <f t="shared" si="393"/>
        <v>4.5818987046545715E-6</v>
      </c>
      <c r="G923" s="4">
        <f t="shared" si="393"/>
        <v>4.5818987046545715E-6</v>
      </c>
      <c r="H923" s="4">
        <f t="shared" si="393"/>
        <v>4.5818987046545715E-6</v>
      </c>
      <c r="I923" s="4">
        <f t="shared" si="393"/>
        <v>4.5818987046545715E-6</v>
      </c>
      <c r="J923" s="4">
        <f t="shared" si="393"/>
        <v>4.5818987046545715E-6</v>
      </c>
      <c r="K923" s="4">
        <f t="shared" si="393"/>
        <v>4.5818987046545715E-6</v>
      </c>
      <c r="L923" s="4">
        <f t="shared" si="393"/>
        <v>4.5818987046545715E-6</v>
      </c>
      <c r="M923" s="4">
        <f t="shared" si="393"/>
        <v>4.5818987046545715E-6</v>
      </c>
      <c r="N923" t="s">
        <v>256</v>
      </c>
      <c r="O923" t="s">
        <v>280</v>
      </c>
      <c r="P923" t="s">
        <v>324</v>
      </c>
      <c r="Q923" t="s">
        <v>245</v>
      </c>
    </row>
    <row r="924" spans="1:17" x14ac:dyDescent="0.25">
      <c r="A924" t="s">
        <v>324</v>
      </c>
      <c r="B924" t="s">
        <v>156</v>
      </c>
      <c r="C924" s="4">
        <f t="shared" ref="C924:M924" si="394">0.212937718373242 * 0.843688291211511%</f>
        <v>1.7965305974879853E-3</v>
      </c>
      <c r="D924" s="4">
        <f t="shared" si="394"/>
        <v>1.7965305974879853E-3</v>
      </c>
      <c r="E924" s="4">
        <f t="shared" si="394"/>
        <v>1.7965305974879853E-3</v>
      </c>
      <c r="F924" s="4">
        <f t="shared" si="394"/>
        <v>1.7965305974879853E-3</v>
      </c>
      <c r="G924" s="4">
        <f t="shared" si="394"/>
        <v>1.7965305974879853E-3</v>
      </c>
      <c r="H924" s="4">
        <f t="shared" si="394"/>
        <v>1.7965305974879853E-3</v>
      </c>
      <c r="I924" s="4">
        <f t="shared" si="394"/>
        <v>1.7965305974879853E-3</v>
      </c>
      <c r="J924" s="4">
        <f t="shared" si="394"/>
        <v>1.7965305974879853E-3</v>
      </c>
      <c r="K924" s="4">
        <f t="shared" si="394"/>
        <v>1.7965305974879853E-3</v>
      </c>
      <c r="L924" s="4">
        <f t="shared" si="394"/>
        <v>1.7965305974879853E-3</v>
      </c>
      <c r="M924" s="4">
        <f t="shared" si="394"/>
        <v>1.7965305974879853E-3</v>
      </c>
      <c r="N924" t="s">
        <v>242</v>
      </c>
      <c r="O924" t="s">
        <v>327</v>
      </c>
      <c r="P924" t="s">
        <v>324</v>
      </c>
      <c r="Q924" t="s">
        <v>245</v>
      </c>
    </row>
    <row r="925" spans="1:17" x14ac:dyDescent="0.25">
      <c r="A925" t="s">
        <v>324</v>
      </c>
      <c r="B925" t="s">
        <v>156</v>
      </c>
      <c r="C925" s="4">
        <f t="shared" ref="C925:M925" si="395">0.755584923910716 * 0.843688291211511%</f>
        <v>6.374781533194116E-3</v>
      </c>
      <c r="D925" s="4">
        <f t="shared" si="395"/>
        <v>6.374781533194116E-3</v>
      </c>
      <c r="E925" s="4">
        <f t="shared" si="395"/>
        <v>6.374781533194116E-3</v>
      </c>
      <c r="F925" s="4">
        <f t="shared" si="395"/>
        <v>6.374781533194116E-3</v>
      </c>
      <c r="G925" s="4">
        <f t="shared" si="395"/>
        <v>6.374781533194116E-3</v>
      </c>
      <c r="H925" s="4">
        <f t="shared" si="395"/>
        <v>6.374781533194116E-3</v>
      </c>
      <c r="I925" s="4">
        <f t="shared" si="395"/>
        <v>6.374781533194116E-3</v>
      </c>
      <c r="J925" s="4">
        <f t="shared" si="395"/>
        <v>6.374781533194116E-3</v>
      </c>
      <c r="K925" s="4">
        <f t="shared" si="395"/>
        <v>6.374781533194116E-3</v>
      </c>
      <c r="L925" s="4">
        <f t="shared" si="395"/>
        <v>6.374781533194116E-3</v>
      </c>
      <c r="M925" s="4">
        <f t="shared" si="395"/>
        <v>6.374781533194116E-3</v>
      </c>
      <c r="N925" t="s">
        <v>242</v>
      </c>
      <c r="O925" t="s">
        <v>326</v>
      </c>
      <c r="P925" t="s">
        <v>324</v>
      </c>
      <c r="Q925" t="s">
        <v>245</v>
      </c>
    </row>
    <row r="926" spans="1:17" x14ac:dyDescent="0.25">
      <c r="A926" t="s">
        <v>324</v>
      </c>
      <c r="B926" t="s">
        <v>156</v>
      </c>
      <c r="C926" s="4">
        <f t="shared" ref="C926:M926" si="396">0.00154025450133466 * 0.843688291211511%</f>
        <v>1.2994946882618774E-5</v>
      </c>
      <c r="D926" s="4">
        <f t="shared" si="396"/>
        <v>1.2994946882618774E-5</v>
      </c>
      <c r="E926" s="4">
        <f t="shared" si="396"/>
        <v>1.2994946882618774E-5</v>
      </c>
      <c r="F926" s="4">
        <f t="shared" si="396"/>
        <v>1.2994946882618774E-5</v>
      </c>
      <c r="G926" s="4">
        <f t="shared" si="396"/>
        <v>1.2994946882618774E-5</v>
      </c>
      <c r="H926" s="4">
        <f t="shared" si="396"/>
        <v>1.2994946882618774E-5</v>
      </c>
      <c r="I926" s="4">
        <f t="shared" si="396"/>
        <v>1.2994946882618774E-5</v>
      </c>
      <c r="J926" s="4">
        <f t="shared" si="396"/>
        <v>1.2994946882618774E-5</v>
      </c>
      <c r="K926" s="4">
        <f t="shared" si="396"/>
        <v>1.2994946882618774E-5</v>
      </c>
      <c r="L926" s="4">
        <f t="shared" si="396"/>
        <v>1.2994946882618774E-5</v>
      </c>
      <c r="M926" s="4">
        <f t="shared" si="396"/>
        <v>1.2994946882618774E-5</v>
      </c>
      <c r="N926" t="s">
        <v>242</v>
      </c>
      <c r="O926" t="s">
        <v>289</v>
      </c>
      <c r="P926" t="s">
        <v>324</v>
      </c>
      <c r="Q926" t="s">
        <v>245</v>
      </c>
    </row>
    <row r="927" spans="1:17" x14ac:dyDescent="0.25">
      <c r="A927" t="s">
        <v>324</v>
      </c>
      <c r="B927" t="s">
        <v>156</v>
      </c>
      <c r="C927" s="4">
        <f t="shared" ref="C927:M927" si="397">4.63438553364394E-10 * 0.843688291211511%</f>
        <v>3.9099768116954021E-12</v>
      </c>
      <c r="D927" s="4">
        <f t="shared" si="397"/>
        <v>3.9099768116954021E-12</v>
      </c>
      <c r="E927" s="4">
        <f t="shared" si="397"/>
        <v>3.9099768116954021E-12</v>
      </c>
      <c r="F927" s="4">
        <f t="shared" si="397"/>
        <v>3.9099768116954021E-12</v>
      </c>
      <c r="G927" s="4">
        <f t="shared" si="397"/>
        <v>3.9099768116954021E-12</v>
      </c>
      <c r="H927" s="4">
        <f t="shared" si="397"/>
        <v>3.9099768116954021E-12</v>
      </c>
      <c r="I927" s="4">
        <f t="shared" si="397"/>
        <v>3.9099768116954021E-12</v>
      </c>
      <c r="J927" s="4">
        <f t="shared" si="397"/>
        <v>3.9099768116954021E-12</v>
      </c>
      <c r="K927" s="4">
        <f t="shared" si="397"/>
        <v>3.9099768116954021E-12</v>
      </c>
      <c r="L927" s="4">
        <f t="shared" si="397"/>
        <v>3.9099768116954021E-12</v>
      </c>
      <c r="M927" s="4">
        <f t="shared" si="397"/>
        <v>3.9099768116954021E-12</v>
      </c>
      <c r="N927" t="s">
        <v>256</v>
      </c>
      <c r="O927" t="s">
        <v>322</v>
      </c>
      <c r="P927" t="s">
        <v>324</v>
      </c>
      <c r="Q927" t="s">
        <v>245</v>
      </c>
    </row>
    <row r="928" spans="1:17" x14ac:dyDescent="0.25">
      <c r="A928" t="s">
        <v>324</v>
      </c>
      <c r="B928" t="s">
        <v>156</v>
      </c>
      <c r="C928" s="4">
        <f t="shared" ref="C928:M928" si="398">1.80533525994585E-09 * 0.843688291211511%</f>
        <v>1.5231402205276033E-11</v>
      </c>
      <c r="D928" s="4">
        <f t="shared" si="398"/>
        <v>1.5231402205276033E-11</v>
      </c>
      <c r="E928" s="4">
        <f t="shared" si="398"/>
        <v>1.5231402205276033E-11</v>
      </c>
      <c r="F928" s="4">
        <f t="shared" si="398"/>
        <v>1.5231402205276033E-11</v>
      </c>
      <c r="G928" s="4">
        <f t="shared" si="398"/>
        <v>1.5231402205276033E-11</v>
      </c>
      <c r="H928" s="4">
        <f t="shared" si="398"/>
        <v>1.5231402205276033E-11</v>
      </c>
      <c r="I928" s="4">
        <f t="shared" si="398"/>
        <v>1.5231402205276033E-11</v>
      </c>
      <c r="J928" s="4">
        <f t="shared" si="398"/>
        <v>1.5231402205276033E-11</v>
      </c>
      <c r="K928" s="4">
        <f t="shared" si="398"/>
        <v>1.5231402205276033E-11</v>
      </c>
      <c r="L928" s="4">
        <f t="shared" si="398"/>
        <v>1.5231402205276033E-11</v>
      </c>
      <c r="M928" s="4">
        <f t="shared" si="398"/>
        <v>1.5231402205276033E-11</v>
      </c>
      <c r="N928" t="s">
        <v>256</v>
      </c>
      <c r="O928" t="s">
        <v>323</v>
      </c>
      <c r="P928" t="s">
        <v>324</v>
      </c>
      <c r="Q928" t="s">
        <v>245</v>
      </c>
    </row>
    <row r="929" spans="1:17" x14ac:dyDescent="0.25">
      <c r="A929" t="s">
        <v>324</v>
      </c>
      <c r="B929" t="s">
        <v>156</v>
      </c>
      <c r="C929" s="4">
        <f t="shared" ref="C929:M929" si="399">0.000343246436607167 * 0.843688291211511%</f>
        <v>2.8959299956554097E-6</v>
      </c>
      <c r="D929" s="4">
        <f t="shared" si="399"/>
        <v>2.8959299956554097E-6</v>
      </c>
      <c r="E929" s="4">
        <f t="shared" si="399"/>
        <v>2.8959299956554097E-6</v>
      </c>
      <c r="F929" s="4">
        <f t="shared" si="399"/>
        <v>2.8959299956554097E-6</v>
      </c>
      <c r="G929" s="4">
        <f t="shared" si="399"/>
        <v>2.8959299956554097E-6</v>
      </c>
      <c r="H929" s="4">
        <f t="shared" si="399"/>
        <v>2.8959299956554097E-6</v>
      </c>
      <c r="I929" s="4">
        <f t="shared" si="399"/>
        <v>2.8959299956554097E-6</v>
      </c>
      <c r="J929" s="4">
        <f t="shared" si="399"/>
        <v>2.8959299956554097E-6</v>
      </c>
      <c r="K929" s="4">
        <f t="shared" si="399"/>
        <v>2.8959299956554097E-6</v>
      </c>
      <c r="L929" s="4">
        <f t="shared" si="399"/>
        <v>2.8959299956554097E-6</v>
      </c>
      <c r="M929" s="4">
        <f t="shared" si="399"/>
        <v>2.8959299956554097E-6</v>
      </c>
      <c r="N929" t="s">
        <v>256</v>
      </c>
      <c r="O929" t="s">
        <v>280</v>
      </c>
      <c r="P929" t="s">
        <v>324</v>
      </c>
      <c r="Q929" t="s">
        <v>245</v>
      </c>
    </row>
    <row r="930" spans="1:17" x14ac:dyDescent="0.25">
      <c r="A930" t="s">
        <v>324</v>
      </c>
      <c r="B930" t="s">
        <v>151</v>
      </c>
      <c r="C930" s="4">
        <f t="shared" ref="C930:M930" si="400">0.212937718373242 * 2.236883979967%</f>
        <v>4.7631697095982979E-3</v>
      </c>
      <c r="D930" s="4">
        <f t="shared" si="400"/>
        <v>4.7631697095982979E-3</v>
      </c>
      <c r="E930" s="4">
        <f t="shared" si="400"/>
        <v>4.7631697095982979E-3</v>
      </c>
      <c r="F930" s="4">
        <f t="shared" si="400"/>
        <v>4.7631697095982979E-3</v>
      </c>
      <c r="G930" s="4">
        <f t="shared" si="400"/>
        <v>4.7631697095982979E-3</v>
      </c>
      <c r="H930" s="4">
        <f t="shared" si="400"/>
        <v>4.7631697095982979E-3</v>
      </c>
      <c r="I930" s="4">
        <f t="shared" si="400"/>
        <v>4.7631697095982979E-3</v>
      </c>
      <c r="J930" s="4">
        <f t="shared" si="400"/>
        <v>4.7631697095982979E-3</v>
      </c>
      <c r="K930" s="4">
        <f t="shared" si="400"/>
        <v>4.7631697095982979E-3</v>
      </c>
      <c r="L930" s="4">
        <f t="shared" si="400"/>
        <v>4.7631697095982979E-3</v>
      </c>
      <c r="M930" s="4">
        <f t="shared" si="400"/>
        <v>4.7631697095982979E-3</v>
      </c>
      <c r="N930" t="s">
        <v>242</v>
      </c>
      <c r="O930" t="s">
        <v>327</v>
      </c>
      <c r="P930" t="s">
        <v>324</v>
      </c>
      <c r="Q930" t="s">
        <v>245</v>
      </c>
    </row>
    <row r="931" spans="1:17" x14ac:dyDescent="0.25">
      <c r="A931" t="s">
        <v>324</v>
      </c>
      <c r="B931" t="s">
        <v>151</v>
      </c>
      <c r="C931" s="4">
        <f t="shared" ref="C931:M931" si="401">0.755584923910716 * 2.236883979967%</f>
        <v>1.6901558118004652E-2</v>
      </c>
      <c r="D931" s="4">
        <f t="shared" si="401"/>
        <v>1.6901558118004652E-2</v>
      </c>
      <c r="E931" s="4">
        <f t="shared" si="401"/>
        <v>1.6901558118004652E-2</v>
      </c>
      <c r="F931" s="4">
        <f t="shared" si="401"/>
        <v>1.6901558118004652E-2</v>
      </c>
      <c r="G931" s="4">
        <f t="shared" si="401"/>
        <v>1.6901558118004652E-2</v>
      </c>
      <c r="H931" s="4">
        <f t="shared" si="401"/>
        <v>1.6901558118004652E-2</v>
      </c>
      <c r="I931" s="4">
        <f t="shared" si="401"/>
        <v>1.6901558118004652E-2</v>
      </c>
      <c r="J931" s="4">
        <f t="shared" si="401"/>
        <v>1.6901558118004652E-2</v>
      </c>
      <c r="K931" s="4">
        <f t="shared" si="401"/>
        <v>1.6901558118004652E-2</v>
      </c>
      <c r="L931" s="4">
        <f t="shared" si="401"/>
        <v>1.6901558118004652E-2</v>
      </c>
      <c r="M931" s="4">
        <f t="shared" si="401"/>
        <v>1.6901558118004652E-2</v>
      </c>
      <c r="N931" t="s">
        <v>242</v>
      </c>
      <c r="O931" t="s">
        <v>326</v>
      </c>
      <c r="P931" t="s">
        <v>324</v>
      </c>
      <c r="Q931" t="s">
        <v>245</v>
      </c>
    </row>
    <row r="932" spans="1:17" x14ac:dyDescent="0.25">
      <c r="A932" t="s">
        <v>324</v>
      </c>
      <c r="B932" t="s">
        <v>151</v>
      </c>
      <c r="C932" s="4">
        <f t="shared" ref="C932:M932" si="402">0.00154025450133466 * 2.236883979967%</f>
        <v>3.4453706191075612E-5</v>
      </c>
      <c r="D932" s="4">
        <f t="shared" si="402"/>
        <v>3.4453706191075612E-5</v>
      </c>
      <c r="E932" s="4">
        <f t="shared" si="402"/>
        <v>3.4453706191075612E-5</v>
      </c>
      <c r="F932" s="4">
        <f t="shared" si="402"/>
        <v>3.4453706191075612E-5</v>
      </c>
      <c r="G932" s="4">
        <f t="shared" si="402"/>
        <v>3.4453706191075612E-5</v>
      </c>
      <c r="H932" s="4">
        <f t="shared" si="402"/>
        <v>3.4453706191075612E-5</v>
      </c>
      <c r="I932" s="4">
        <f t="shared" si="402"/>
        <v>3.4453706191075612E-5</v>
      </c>
      <c r="J932" s="4">
        <f t="shared" si="402"/>
        <v>3.4453706191075612E-5</v>
      </c>
      <c r="K932" s="4">
        <f t="shared" si="402"/>
        <v>3.4453706191075612E-5</v>
      </c>
      <c r="L932" s="4">
        <f t="shared" si="402"/>
        <v>3.4453706191075612E-5</v>
      </c>
      <c r="M932" s="4">
        <f t="shared" si="402"/>
        <v>3.4453706191075612E-5</v>
      </c>
      <c r="N932" t="s">
        <v>242</v>
      </c>
      <c r="O932" t="s">
        <v>289</v>
      </c>
      <c r="P932" t="s">
        <v>324</v>
      </c>
      <c r="Q932" t="s">
        <v>245</v>
      </c>
    </row>
    <row r="933" spans="1:17" x14ac:dyDescent="0.25">
      <c r="A933" t="s">
        <v>324</v>
      </c>
      <c r="B933" t="s">
        <v>151</v>
      </c>
      <c r="C933" s="4">
        <f t="shared" ref="C933:M933" si="403">4.63438553364394E-10 * 2.236883979967%</f>
        <v>1.0366582757198947E-11</v>
      </c>
      <c r="D933" s="4">
        <f t="shared" si="403"/>
        <v>1.0366582757198947E-11</v>
      </c>
      <c r="E933" s="4">
        <f t="shared" si="403"/>
        <v>1.0366582757198947E-11</v>
      </c>
      <c r="F933" s="4">
        <f t="shared" si="403"/>
        <v>1.0366582757198947E-11</v>
      </c>
      <c r="G933" s="4">
        <f t="shared" si="403"/>
        <v>1.0366582757198947E-11</v>
      </c>
      <c r="H933" s="4">
        <f t="shared" si="403"/>
        <v>1.0366582757198947E-11</v>
      </c>
      <c r="I933" s="4">
        <f t="shared" si="403"/>
        <v>1.0366582757198947E-11</v>
      </c>
      <c r="J933" s="4">
        <f t="shared" si="403"/>
        <v>1.0366582757198947E-11</v>
      </c>
      <c r="K933" s="4">
        <f t="shared" si="403"/>
        <v>1.0366582757198947E-11</v>
      </c>
      <c r="L933" s="4">
        <f t="shared" si="403"/>
        <v>1.0366582757198947E-11</v>
      </c>
      <c r="M933" s="4">
        <f t="shared" si="403"/>
        <v>1.0366582757198947E-11</v>
      </c>
      <c r="N933" t="s">
        <v>256</v>
      </c>
      <c r="O933" t="s">
        <v>322</v>
      </c>
      <c r="P933" t="s">
        <v>324</v>
      </c>
      <c r="Q933" t="s">
        <v>245</v>
      </c>
    </row>
    <row r="934" spans="1:17" x14ac:dyDescent="0.25">
      <c r="A934" t="s">
        <v>324</v>
      </c>
      <c r="B934" t="s">
        <v>151</v>
      </c>
      <c r="C934" s="4">
        <f t="shared" ref="C934:M934" si="404">1.80533525994585E-09 * 2.236883979967%</f>
        <v>4.0383255214424316E-11</v>
      </c>
      <c r="D934" s="4">
        <f t="shared" si="404"/>
        <v>4.0383255214424316E-11</v>
      </c>
      <c r="E934" s="4">
        <f t="shared" si="404"/>
        <v>4.0383255214424316E-11</v>
      </c>
      <c r="F934" s="4">
        <f t="shared" si="404"/>
        <v>4.0383255214424316E-11</v>
      </c>
      <c r="G934" s="4">
        <f t="shared" si="404"/>
        <v>4.0383255214424316E-11</v>
      </c>
      <c r="H934" s="4">
        <f t="shared" si="404"/>
        <v>4.0383255214424316E-11</v>
      </c>
      <c r="I934" s="4">
        <f t="shared" si="404"/>
        <v>4.0383255214424316E-11</v>
      </c>
      <c r="J934" s="4">
        <f t="shared" si="404"/>
        <v>4.0383255214424316E-11</v>
      </c>
      <c r="K934" s="4">
        <f t="shared" si="404"/>
        <v>4.0383255214424316E-11</v>
      </c>
      <c r="L934" s="4">
        <f t="shared" si="404"/>
        <v>4.0383255214424316E-11</v>
      </c>
      <c r="M934" s="4">
        <f t="shared" si="404"/>
        <v>4.0383255214424316E-11</v>
      </c>
      <c r="N934" t="s">
        <v>256</v>
      </c>
      <c r="O934" t="s">
        <v>323</v>
      </c>
      <c r="P934" t="s">
        <v>324</v>
      </c>
      <c r="Q934" t="s">
        <v>245</v>
      </c>
    </row>
    <row r="935" spans="1:17" x14ac:dyDescent="0.25">
      <c r="A935" t="s">
        <v>324</v>
      </c>
      <c r="B935" t="s">
        <v>151</v>
      </c>
      <c r="C935" s="4">
        <f t="shared" ref="C935:M935" si="405">0.000343246436607167 * 2.236883979967%</f>
        <v>7.6780245522733038E-6</v>
      </c>
      <c r="D935" s="4">
        <f t="shared" si="405"/>
        <v>7.6780245522733038E-6</v>
      </c>
      <c r="E935" s="4">
        <f t="shared" si="405"/>
        <v>7.6780245522733038E-6</v>
      </c>
      <c r="F935" s="4">
        <f t="shared" si="405"/>
        <v>7.6780245522733038E-6</v>
      </c>
      <c r="G935" s="4">
        <f t="shared" si="405"/>
        <v>7.6780245522733038E-6</v>
      </c>
      <c r="H935" s="4">
        <f t="shared" si="405"/>
        <v>7.6780245522733038E-6</v>
      </c>
      <c r="I935" s="4">
        <f t="shared" si="405"/>
        <v>7.6780245522733038E-6</v>
      </c>
      <c r="J935" s="4">
        <f t="shared" si="405"/>
        <v>7.6780245522733038E-6</v>
      </c>
      <c r="K935" s="4">
        <f t="shared" si="405"/>
        <v>7.6780245522733038E-6</v>
      </c>
      <c r="L935" s="4">
        <f t="shared" si="405"/>
        <v>7.6780245522733038E-6</v>
      </c>
      <c r="M935" s="4">
        <f t="shared" si="405"/>
        <v>7.6780245522733038E-6</v>
      </c>
      <c r="N935" t="s">
        <v>256</v>
      </c>
      <c r="O935" t="s">
        <v>280</v>
      </c>
      <c r="P935" t="s">
        <v>324</v>
      </c>
      <c r="Q935" t="s">
        <v>245</v>
      </c>
    </row>
    <row r="936" spans="1:17" x14ac:dyDescent="0.25">
      <c r="A936" t="s">
        <v>324</v>
      </c>
      <c r="B936" t="s">
        <v>107</v>
      </c>
      <c r="C936" s="4">
        <f t="shared" ref="C936:M936" si="406">0.212937718373242 * 4.2221978014209%</f>
        <v>8.9906516635508502E-3</v>
      </c>
      <c r="D936" s="4">
        <f t="shared" si="406"/>
        <v>8.9906516635508502E-3</v>
      </c>
      <c r="E936" s="4">
        <f t="shared" si="406"/>
        <v>8.9906516635508502E-3</v>
      </c>
      <c r="F936" s="4">
        <f t="shared" si="406"/>
        <v>8.9906516635508502E-3</v>
      </c>
      <c r="G936" s="4">
        <f t="shared" si="406"/>
        <v>8.9906516635508502E-3</v>
      </c>
      <c r="H936" s="4">
        <f t="shared" si="406"/>
        <v>8.9906516635508502E-3</v>
      </c>
      <c r="I936" s="4">
        <f t="shared" si="406"/>
        <v>8.9906516635508502E-3</v>
      </c>
      <c r="J936" s="4">
        <f t="shared" si="406"/>
        <v>8.9906516635508502E-3</v>
      </c>
      <c r="K936" s="4">
        <f t="shared" si="406"/>
        <v>8.9906516635508502E-3</v>
      </c>
      <c r="L936" s="4">
        <f t="shared" si="406"/>
        <v>8.9906516635508502E-3</v>
      </c>
      <c r="M936" s="4">
        <f t="shared" si="406"/>
        <v>8.9906516635508502E-3</v>
      </c>
      <c r="N936" t="s">
        <v>242</v>
      </c>
      <c r="O936" t="s">
        <v>327</v>
      </c>
      <c r="P936" t="s">
        <v>324</v>
      </c>
      <c r="Q936" t="s">
        <v>245</v>
      </c>
    </row>
    <row r="937" spans="1:17" x14ac:dyDescent="0.25">
      <c r="A937" t="s">
        <v>324</v>
      </c>
      <c r="B937" t="s">
        <v>107</v>
      </c>
      <c r="C937" s="4">
        <f t="shared" ref="C937:M937" si="407">0.755584923910716 * 4.2221978014209%</f>
        <v>3.1902290045226024E-2</v>
      </c>
      <c r="D937" s="4">
        <f t="shared" si="407"/>
        <v>3.1902290045226024E-2</v>
      </c>
      <c r="E937" s="4">
        <f t="shared" si="407"/>
        <v>3.1902290045226024E-2</v>
      </c>
      <c r="F937" s="4">
        <f t="shared" si="407"/>
        <v>3.1902290045226024E-2</v>
      </c>
      <c r="G937" s="4">
        <f t="shared" si="407"/>
        <v>3.1902290045226024E-2</v>
      </c>
      <c r="H937" s="4">
        <f t="shared" si="407"/>
        <v>3.1902290045226024E-2</v>
      </c>
      <c r="I937" s="4">
        <f t="shared" si="407"/>
        <v>3.1902290045226024E-2</v>
      </c>
      <c r="J937" s="4">
        <f t="shared" si="407"/>
        <v>3.1902290045226024E-2</v>
      </c>
      <c r="K937" s="4">
        <f t="shared" si="407"/>
        <v>3.1902290045226024E-2</v>
      </c>
      <c r="L937" s="4">
        <f t="shared" si="407"/>
        <v>3.1902290045226024E-2</v>
      </c>
      <c r="M937" s="4">
        <f t="shared" si="407"/>
        <v>3.1902290045226024E-2</v>
      </c>
      <c r="N937" t="s">
        <v>242</v>
      </c>
      <c r="O937" t="s">
        <v>326</v>
      </c>
      <c r="P937" t="s">
        <v>324</v>
      </c>
      <c r="Q937" t="s">
        <v>245</v>
      </c>
    </row>
    <row r="938" spans="1:17" x14ac:dyDescent="0.25">
      <c r="A938" t="s">
        <v>324</v>
      </c>
      <c r="B938" t="s">
        <v>107</v>
      </c>
      <c r="C938" s="4">
        <f t="shared" ref="C938:M938" si="408">0.00154025450133466 * 4.2221978014209%</f>
        <v>6.5032591691638458E-5</v>
      </c>
      <c r="D938" s="4">
        <f t="shared" si="408"/>
        <v>6.5032591691638458E-5</v>
      </c>
      <c r="E938" s="4">
        <f t="shared" si="408"/>
        <v>6.5032591691638458E-5</v>
      </c>
      <c r="F938" s="4">
        <f t="shared" si="408"/>
        <v>6.5032591691638458E-5</v>
      </c>
      <c r="G938" s="4">
        <f t="shared" si="408"/>
        <v>6.5032591691638458E-5</v>
      </c>
      <c r="H938" s="4">
        <f t="shared" si="408"/>
        <v>6.5032591691638458E-5</v>
      </c>
      <c r="I938" s="4">
        <f t="shared" si="408"/>
        <v>6.5032591691638458E-5</v>
      </c>
      <c r="J938" s="4">
        <f t="shared" si="408"/>
        <v>6.5032591691638458E-5</v>
      </c>
      <c r="K938" s="4">
        <f t="shared" si="408"/>
        <v>6.5032591691638458E-5</v>
      </c>
      <c r="L938" s="4">
        <f t="shared" si="408"/>
        <v>6.5032591691638458E-5</v>
      </c>
      <c r="M938" s="4">
        <f t="shared" si="408"/>
        <v>6.5032591691638458E-5</v>
      </c>
      <c r="N938" t="s">
        <v>242</v>
      </c>
      <c r="O938" t="s">
        <v>289</v>
      </c>
      <c r="P938" t="s">
        <v>324</v>
      </c>
      <c r="Q938" t="s">
        <v>245</v>
      </c>
    </row>
    <row r="939" spans="1:17" x14ac:dyDescent="0.25">
      <c r="A939" t="s">
        <v>324</v>
      </c>
      <c r="B939" t="s">
        <v>107</v>
      </c>
      <c r="C939" s="4">
        <f t="shared" ref="C939:M939" si="409">4.63438553364394E-10 * 4.2221978014209%</f>
        <v>1.9567292411088267E-11</v>
      </c>
      <c r="D939" s="4">
        <f t="shared" si="409"/>
        <v>1.9567292411088267E-11</v>
      </c>
      <c r="E939" s="4">
        <f t="shared" si="409"/>
        <v>1.9567292411088267E-11</v>
      </c>
      <c r="F939" s="4">
        <f t="shared" si="409"/>
        <v>1.9567292411088267E-11</v>
      </c>
      <c r="G939" s="4">
        <f t="shared" si="409"/>
        <v>1.9567292411088267E-11</v>
      </c>
      <c r="H939" s="4">
        <f t="shared" si="409"/>
        <v>1.9567292411088267E-11</v>
      </c>
      <c r="I939" s="4">
        <f t="shared" si="409"/>
        <v>1.9567292411088267E-11</v>
      </c>
      <c r="J939" s="4">
        <f t="shared" si="409"/>
        <v>1.9567292411088267E-11</v>
      </c>
      <c r="K939" s="4">
        <f t="shared" si="409"/>
        <v>1.9567292411088267E-11</v>
      </c>
      <c r="L939" s="4">
        <f t="shared" si="409"/>
        <v>1.9567292411088267E-11</v>
      </c>
      <c r="M939" s="4">
        <f t="shared" si="409"/>
        <v>1.9567292411088267E-11</v>
      </c>
      <c r="N939" t="s">
        <v>256</v>
      </c>
      <c r="O939" t="s">
        <v>322</v>
      </c>
      <c r="P939" t="s">
        <v>324</v>
      </c>
      <c r="Q939" t="s">
        <v>245</v>
      </c>
    </row>
    <row r="940" spans="1:17" x14ac:dyDescent="0.25">
      <c r="A940" t="s">
        <v>324</v>
      </c>
      <c r="B940" t="s">
        <v>107</v>
      </c>
      <c r="C940" s="4">
        <f t="shared" ref="C940:M940" si="410">1.80533525994585E-09 * 4.2221978014209%</f>
        <v>7.6224825653709952E-11</v>
      </c>
      <c r="D940" s="4">
        <f t="shared" si="410"/>
        <v>7.6224825653709952E-11</v>
      </c>
      <c r="E940" s="4">
        <f t="shared" si="410"/>
        <v>7.6224825653709952E-11</v>
      </c>
      <c r="F940" s="4">
        <f t="shared" si="410"/>
        <v>7.6224825653709952E-11</v>
      </c>
      <c r="G940" s="4">
        <f t="shared" si="410"/>
        <v>7.6224825653709952E-11</v>
      </c>
      <c r="H940" s="4">
        <f t="shared" si="410"/>
        <v>7.6224825653709952E-11</v>
      </c>
      <c r="I940" s="4">
        <f t="shared" si="410"/>
        <v>7.6224825653709952E-11</v>
      </c>
      <c r="J940" s="4">
        <f t="shared" si="410"/>
        <v>7.6224825653709952E-11</v>
      </c>
      <c r="K940" s="4">
        <f t="shared" si="410"/>
        <v>7.6224825653709952E-11</v>
      </c>
      <c r="L940" s="4">
        <f t="shared" si="410"/>
        <v>7.6224825653709952E-11</v>
      </c>
      <c r="M940" s="4">
        <f t="shared" si="410"/>
        <v>7.6224825653709952E-11</v>
      </c>
      <c r="N940" t="s">
        <v>256</v>
      </c>
      <c r="O940" t="s">
        <v>323</v>
      </c>
      <c r="P940" t="s">
        <v>324</v>
      </c>
      <c r="Q940" t="s">
        <v>245</v>
      </c>
    </row>
    <row r="941" spans="1:17" x14ac:dyDescent="0.25">
      <c r="A941" t="s">
        <v>324</v>
      </c>
      <c r="B941" t="s">
        <v>107</v>
      </c>
      <c r="C941" s="4">
        <f t="shared" ref="C941:M941" si="411">0.000343246436607167 * 4.2221978014209%</f>
        <v>1.4492543499883387E-5</v>
      </c>
      <c r="D941" s="4">
        <f t="shared" si="411"/>
        <v>1.4492543499883387E-5</v>
      </c>
      <c r="E941" s="4">
        <f t="shared" si="411"/>
        <v>1.4492543499883387E-5</v>
      </c>
      <c r="F941" s="4">
        <f t="shared" si="411"/>
        <v>1.4492543499883387E-5</v>
      </c>
      <c r="G941" s="4">
        <f t="shared" si="411"/>
        <v>1.4492543499883387E-5</v>
      </c>
      <c r="H941" s="4">
        <f t="shared" si="411"/>
        <v>1.4492543499883387E-5</v>
      </c>
      <c r="I941" s="4">
        <f t="shared" si="411"/>
        <v>1.4492543499883387E-5</v>
      </c>
      <c r="J941" s="4">
        <f t="shared" si="411"/>
        <v>1.4492543499883387E-5</v>
      </c>
      <c r="K941" s="4">
        <f t="shared" si="411"/>
        <v>1.4492543499883387E-5</v>
      </c>
      <c r="L941" s="4">
        <f t="shared" si="411"/>
        <v>1.4492543499883387E-5</v>
      </c>
      <c r="M941" s="4">
        <f t="shared" si="411"/>
        <v>1.4492543499883387E-5</v>
      </c>
      <c r="N941" t="s">
        <v>256</v>
      </c>
      <c r="O941" t="s">
        <v>280</v>
      </c>
      <c r="P941" t="s">
        <v>324</v>
      </c>
      <c r="Q941" t="s">
        <v>245</v>
      </c>
    </row>
    <row r="942" spans="1:17" x14ac:dyDescent="0.25">
      <c r="A942" t="s">
        <v>324</v>
      </c>
      <c r="B942" t="s">
        <v>179</v>
      </c>
      <c r="C942" s="4">
        <f t="shared" ref="C942:M942" si="412">0.212937718373242 * 0.261260381322693%</f>
        <v>5.5632189500177411E-4</v>
      </c>
      <c r="D942" s="4">
        <f t="shared" si="412"/>
        <v>5.5632189500177411E-4</v>
      </c>
      <c r="E942" s="4">
        <f t="shared" si="412"/>
        <v>5.5632189500177411E-4</v>
      </c>
      <c r="F942" s="4">
        <f t="shared" si="412"/>
        <v>5.5632189500177411E-4</v>
      </c>
      <c r="G942" s="4">
        <f t="shared" si="412"/>
        <v>5.5632189500177411E-4</v>
      </c>
      <c r="H942" s="4">
        <f t="shared" si="412"/>
        <v>5.5632189500177411E-4</v>
      </c>
      <c r="I942" s="4">
        <f t="shared" si="412"/>
        <v>5.5632189500177411E-4</v>
      </c>
      <c r="J942" s="4">
        <f t="shared" si="412"/>
        <v>5.5632189500177411E-4</v>
      </c>
      <c r="K942" s="4">
        <f t="shared" si="412"/>
        <v>5.5632189500177411E-4</v>
      </c>
      <c r="L942" s="4">
        <f t="shared" si="412"/>
        <v>5.5632189500177411E-4</v>
      </c>
      <c r="M942" s="4">
        <f t="shared" si="412"/>
        <v>5.5632189500177411E-4</v>
      </c>
      <c r="N942" t="s">
        <v>242</v>
      </c>
      <c r="O942" t="s">
        <v>327</v>
      </c>
      <c r="P942" t="s">
        <v>324</v>
      </c>
      <c r="Q942" t="s">
        <v>245</v>
      </c>
    </row>
    <row r="943" spans="1:17" x14ac:dyDescent="0.25">
      <c r="A943" t="s">
        <v>324</v>
      </c>
      <c r="B943" t="s">
        <v>179</v>
      </c>
      <c r="C943" s="4">
        <f t="shared" ref="C943:M943" si="413">0.755584923910716 * 0.261260381322693%</f>
        <v>1.9740440534259164E-3</v>
      </c>
      <c r="D943" s="4">
        <f t="shared" si="413"/>
        <v>1.9740440534259164E-3</v>
      </c>
      <c r="E943" s="4">
        <f t="shared" si="413"/>
        <v>1.9740440534259164E-3</v>
      </c>
      <c r="F943" s="4">
        <f t="shared" si="413"/>
        <v>1.9740440534259164E-3</v>
      </c>
      <c r="G943" s="4">
        <f t="shared" si="413"/>
        <v>1.9740440534259164E-3</v>
      </c>
      <c r="H943" s="4">
        <f t="shared" si="413"/>
        <v>1.9740440534259164E-3</v>
      </c>
      <c r="I943" s="4">
        <f t="shared" si="413"/>
        <v>1.9740440534259164E-3</v>
      </c>
      <c r="J943" s="4">
        <f t="shared" si="413"/>
        <v>1.9740440534259164E-3</v>
      </c>
      <c r="K943" s="4">
        <f t="shared" si="413"/>
        <v>1.9740440534259164E-3</v>
      </c>
      <c r="L943" s="4">
        <f t="shared" si="413"/>
        <v>1.9740440534259164E-3</v>
      </c>
      <c r="M943" s="4">
        <f t="shared" si="413"/>
        <v>1.9740440534259164E-3</v>
      </c>
      <c r="N943" t="s">
        <v>242</v>
      </c>
      <c r="O943" t="s">
        <v>326</v>
      </c>
      <c r="P943" t="s">
        <v>324</v>
      </c>
      <c r="Q943" t="s">
        <v>245</v>
      </c>
    </row>
    <row r="944" spans="1:17" x14ac:dyDescent="0.25">
      <c r="A944" t="s">
        <v>324</v>
      </c>
      <c r="B944" t="s">
        <v>179</v>
      </c>
      <c r="C944" s="4">
        <f t="shared" ref="C944:M944" si="414">0.00154025450133466 * 0.261260381322693%</f>
        <v>4.0240747835268764E-6</v>
      </c>
      <c r="D944" s="4">
        <f t="shared" si="414"/>
        <v>4.0240747835268764E-6</v>
      </c>
      <c r="E944" s="4">
        <f t="shared" si="414"/>
        <v>4.0240747835268764E-6</v>
      </c>
      <c r="F944" s="4">
        <f t="shared" si="414"/>
        <v>4.0240747835268764E-6</v>
      </c>
      <c r="G944" s="4">
        <f t="shared" si="414"/>
        <v>4.0240747835268764E-6</v>
      </c>
      <c r="H944" s="4">
        <f t="shared" si="414"/>
        <v>4.0240747835268764E-6</v>
      </c>
      <c r="I944" s="4">
        <f t="shared" si="414"/>
        <v>4.0240747835268764E-6</v>
      </c>
      <c r="J944" s="4">
        <f t="shared" si="414"/>
        <v>4.0240747835268764E-6</v>
      </c>
      <c r="K944" s="4">
        <f t="shared" si="414"/>
        <v>4.0240747835268764E-6</v>
      </c>
      <c r="L944" s="4">
        <f t="shared" si="414"/>
        <v>4.0240747835268764E-6</v>
      </c>
      <c r="M944" s="4">
        <f t="shared" si="414"/>
        <v>4.0240747835268764E-6</v>
      </c>
      <c r="N944" t="s">
        <v>242</v>
      </c>
      <c r="O944" t="s">
        <v>289</v>
      </c>
      <c r="P944" t="s">
        <v>324</v>
      </c>
      <c r="Q944" t="s">
        <v>245</v>
      </c>
    </row>
    <row r="945" spans="1:17" x14ac:dyDescent="0.25">
      <c r="A945" t="s">
        <v>324</v>
      </c>
      <c r="B945" t="s">
        <v>179</v>
      </c>
      <c r="C945" s="4">
        <f t="shared" ref="C945:M945" si="415">4.63438553364394E-10 * 0.261260381322693%</f>
        <v>1.2107813317161877E-12</v>
      </c>
      <c r="D945" s="4">
        <f t="shared" si="415"/>
        <v>1.2107813317161877E-12</v>
      </c>
      <c r="E945" s="4">
        <f t="shared" si="415"/>
        <v>1.2107813317161877E-12</v>
      </c>
      <c r="F945" s="4">
        <f t="shared" si="415"/>
        <v>1.2107813317161877E-12</v>
      </c>
      <c r="G945" s="4">
        <f t="shared" si="415"/>
        <v>1.2107813317161877E-12</v>
      </c>
      <c r="H945" s="4">
        <f t="shared" si="415"/>
        <v>1.2107813317161877E-12</v>
      </c>
      <c r="I945" s="4">
        <f t="shared" si="415"/>
        <v>1.2107813317161877E-12</v>
      </c>
      <c r="J945" s="4">
        <f t="shared" si="415"/>
        <v>1.2107813317161877E-12</v>
      </c>
      <c r="K945" s="4">
        <f t="shared" si="415"/>
        <v>1.2107813317161877E-12</v>
      </c>
      <c r="L945" s="4">
        <f t="shared" si="415"/>
        <v>1.2107813317161877E-12</v>
      </c>
      <c r="M945" s="4">
        <f t="shared" si="415"/>
        <v>1.2107813317161877E-12</v>
      </c>
      <c r="N945" t="s">
        <v>256</v>
      </c>
      <c r="O945" t="s">
        <v>322</v>
      </c>
      <c r="P945" t="s">
        <v>324</v>
      </c>
      <c r="Q945" t="s">
        <v>245</v>
      </c>
    </row>
    <row r="946" spans="1:17" x14ac:dyDescent="0.25">
      <c r="A946" t="s">
        <v>324</v>
      </c>
      <c r="B946" t="s">
        <v>179</v>
      </c>
      <c r="C946" s="4">
        <f t="shared" ref="C946:M946" si="416">1.80533525994585E-09 * 0.261260381322693%</f>
        <v>4.7166257842875587E-12</v>
      </c>
      <c r="D946" s="4">
        <f t="shared" si="416"/>
        <v>4.7166257842875587E-12</v>
      </c>
      <c r="E946" s="4">
        <f t="shared" si="416"/>
        <v>4.7166257842875587E-12</v>
      </c>
      <c r="F946" s="4">
        <f t="shared" si="416"/>
        <v>4.7166257842875587E-12</v>
      </c>
      <c r="G946" s="4">
        <f t="shared" si="416"/>
        <v>4.7166257842875587E-12</v>
      </c>
      <c r="H946" s="4">
        <f t="shared" si="416"/>
        <v>4.7166257842875587E-12</v>
      </c>
      <c r="I946" s="4">
        <f t="shared" si="416"/>
        <v>4.7166257842875587E-12</v>
      </c>
      <c r="J946" s="4">
        <f t="shared" si="416"/>
        <v>4.7166257842875587E-12</v>
      </c>
      <c r="K946" s="4">
        <f t="shared" si="416"/>
        <v>4.7166257842875587E-12</v>
      </c>
      <c r="L946" s="4">
        <f t="shared" si="416"/>
        <v>4.7166257842875587E-12</v>
      </c>
      <c r="M946" s="4">
        <f t="shared" si="416"/>
        <v>4.7166257842875587E-12</v>
      </c>
      <c r="N946" t="s">
        <v>256</v>
      </c>
      <c r="O946" t="s">
        <v>323</v>
      </c>
      <c r="P946" t="s">
        <v>324</v>
      </c>
      <c r="Q946" t="s">
        <v>245</v>
      </c>
    </row>
    <row r="947" spans="1:17" x14ac:dyDescent="0.25">
      <c r="A947" t="s">
        <v>324</v>
      </c>
      <c r="B947" t="s">
        <v>179</v>
      </c>
      <c r="C947" s="4">
        <f t="shared" ref="C947:M947" si="417">0.000343246436607167 * 0.261260381322693%</f>
        <v>8.9676694915644021E-7</v>
      </c>
      <c r="D947" s="4">
        <f t="shared" si="417"/>
        <v>8.9676694915644021E-7</v>
      </c>
      <c r="E947" s="4">
        <f t="shared" si="417"/>
        <v>8.9676694915644021E-7</v>
      </c>
      <c r="F947" s="4">
        <f t="shared" si="417"/>
        <v>8.9676694915644021E-7</v>
      </c>
      <c r="G947" s="4">
        <f t="shared" si="417"/>
        <v>8.9676694915644021E-7</v>
      </c>
      <c r="H947" s="4">
        <f t="shared" si="417"/>
        <v>8.9676694915644021E-7</v>
      </c>
      <c r="I947" s="4">
        <f t="shared" si="417"/>
        <v>8.9676694915644021E-7</v>
      </c>
      <c r="J947" s="4">
        <f t="shared" si="417"/>
        <v>8.9676694915644021E-7</v>
      </c>
      <c r="K947" s="4">
        <f t="shared" si="417"/>
        <v>8.9676694915644021E-7</v>
      </c>
      <c r="L947" s="4">
        <f t="shared" si="417"/>
        <v>8.9676694915644021E-7</v>
      </c>
      <c r="M947" s="4">
        <f t="shared" si="417"/>
        <v>8.9676694915644021E-7</v>
      </c>
      <c r="N947" t="s">
        <v>256</v>
      </c>
      <c r="O947" t="s">
        <v>280</v>
      </c>
      <c r="P947" t="s">
        <v>324</v>
      </c>
      <c r="Q947" t="s">
        <v>245</v>
      </c>
    </row>
    <row r="948" spans="1:17" x14ac:dyDescent="0.25">
      <c r="A948" t="s">
        <v>324</v>
      </c>
      <c r="B948" t="s">
        <v>137</v>
      </c>
      <c r="C948" s="4">
        <f t="shared" ref="C948:M948" si="418">0.212937718373242 * 0.131636120265745%</f>
        <v>2.8030295104893423E-4</v>
      </c>
      <c r="D948" s="4">
        <f t="shared" si="418"/>
        <v>2.8030295104893423E-4</v>
      </c>
      <c r="E948" s="4">
        <f t="shared" si="418"/>
        <v>2.8030295104893423E-4</v>
      </c>
      <c r="F948" s="4">
        <f t="shared" si="418"/>
        <v>2.8030295104893423E-4</v>
      </c>
      <c r="G948" s="4">
        <f t="shared" si="418"/>
        <v>2.8030295104893423E-4</v>
      </c>
      <c r="H948" s="4">
        <f t="shared" si="418"/>
        <v>2.8030295104893423E-4</v>
      </c>
      <c r="I948" s="4">
        <f t="shared" si="418"/>
        <v>2.8030295104893423E-4</v>
      </c>
      <c r="J948" s="4">
        <f t="shared" si="418"/>
        <v>2.8030295104893423E-4</v>
      </c>
      <c r="K948" s="4">
        <f t="shared" si="418"/>
        <v>2.8030295104893423E-4</v>
      </c>
      <c r="L948" s="4">
        <f t="shared" si="418"/>
        <v>2.8030295104893423E-4</v>
      </c>
      <c r="M948" s="4">
        <f t="shared" si="418"/>
        <v>2.8030295104893423E-4</v>
      </c>
      <c r="N948" t="s">
        <v>242</v>
      </c>
      <c r="O948" t="s">
        <v>327</v>
      </c>
      <c r="P948" t="s">
        <v>324</v>
      </c>
      <c r="Q948" t="s">
        <v>245</v>
      </c>
    </row>
    <row r="949" spans="1:17" x14ac:dyDescent="0.25">
      <c r="A949" t="s">
        <v>324</v>
      </c>
      <c r="B949" t="s">
        <v>137</v>
      </c>
      <c r="C949" s="4">
        <f t="shared" ref="C949:M949" si="419">0.755584923910716 * 0.131636120265745%</f>
        <v>9.9462267914894793E-4</v>
      </c>
      <c r="D949" s="4">
        <f t="shared" si="419"/>
        <v>9.9462267914894793E-4</v>
      </c>
      <c r="E949" s="4">
        <f t="shared" si="419"/>
        <v>9.9462267914894793E-4</v>
      </c>
      <c r="F949" s="4">
        <f t="shared" si="419"/>
        <v>9.9462267914894793E-4</v>
      </c>
      <c r="G949" s="4">
        <f t="shared" si="419"/>
        <v>9.9462267914894793E-4</v>
      </c>
      <c r="H949" s="4">
        <f t="shared" si="419"/>
        <v>9.9462267914894793E-4</v>
      </c>
      <c r="I949" s="4">
        <f t="shared" si="419"/>
        <v>9.9462267914894793E-4</v>
      </c>
      <c r="J949" s="4">
        <f t="shared" si="419"/>
        <v>9.9462267914894793E-4</v>
      </c>
      <c r="K949" s="4">
        <f t="shared" si="419"/>
        <v>9.9462267914894793E-4</v>
      </c>
      <c r="L949" s="4">
        <f t="shared" si="419"/>
        <v>9.9462267914894793E-4</v>
      </c>
      <c r="M949" s="4">
        <f t="shared" si="419"/>
        <v>9.9462267914894793E-4</v>
      </c>
      <c r="N949" t="s">
        <v>242</v>
      </c>
      <c r="O949" t="s">
        <v>326</v>
      </c>
      <c r="P949" t="s">
        <v>324</v>
      </c>
      <c r="Q949" t="s">
        <v>245</v>
      </c>
    </row>
    <row r="950" spans="1:17" x14ac:dyDescent="0.25">
      <c r="A950" t="s">
        <v>324</v>
      </c>
      <c r="B950" t="s">
        <v>137</v>
      </c>
      <c r="C950" s="4">
        <f t="shared" ref="C950:M950" si="420">0.00154025450133466 * 0.131636120265745%</f>
        <v>2.0275312677754439E-6</v>
      </c>
      <c r="D950" s="4">
        <f t="shared" si="420"/>
        <v>2.0275312677754439E-6</v>
      </c>
      <c r="E950" s="4">
        <f t="shared" si="420"/>
        <v>2.0275312677754439E-6</v>
      </c>
      <c r="F950" s="4">
        <f t="shared" si="420"/>
        <v>2.0275312677754439E-6</v>
      </c>
      <c r="G950" s="4">
        <f t="shared" si="420"/>
        <v>2.0275312677754439E-6</v>
      </c>
      <c r="H950" s="4">
        <f t="shared" si="420"/>
        <v>2.0275312677754439E-6</v>
      </c>
      <c r="I950" s="4">
        <f t="shared" si="420"/>
        <v>2.0275312677754439E-6</v>
      </c>
      <c r="J950" s="4">
        <f t="shared" si="420"/>
        <v>2.0275312677754439E-6</v>
      </c>
      <c r="K950" s="4">
        <f t="shared" si="420"/>
        <v>2.0275312677754439E-6</v>
      </c>
      <c r="L950" s="4">
        <f t="shared" si="420"/>
        <v>2.0275312677754439E-6</v>
      </c>
      <c r="M950" s="4">
        <f t="shared" si="420"/>
        <v>2.0275312677754439E-6</v>
      </c>
      <c r="N950" t="s">
        <v>242</v>
      </c>
      <c r="O950" t="s">
        <v>289</v>
      </c>
      <c r="P950" t="s">
        <v>324</v>
      </c>
      <c r="Q950" t="s">
        <v>245</v>
      </c>
    </row>
    <row r="951" spans="1:17" x14ac:dyDescent="0.25">
      <c r="A951" t="s">
        <v>324</v>
      </c>
      <c r="B951" t="s">
        <v>137</v>
      </c>
      <c r="C951" s="4">
        <f t="shared" ref="C951:M951" si="421">4.63438553364394E-10 * 0.131636120265745%</f>
        <v>6.1005253146458254E-13</v>
      </c>
      <c r="D951" s="4">
        <f t="shared" si="421"/>
        <v>6.1005253146458254E-13</v>
      </c>
      <c r="E951" s="4">
        <f t="shared" si="421"/>
        <v>6.1005253146458254E-13</v>
      </c>
      <c r="F951" s="4">
        <f t="shared" si="421"/>
        <v>6.1005253146458254E-13</v>
      </c>
      <c r="G951" s="4">
        <f t="shared" si="421"/>
        <v>6.1005253146458254E-13</v>
      </c>
      <c r="H951" s="4">
        <f t="shared" si="421"/>
        <v>6.1005253146458254E-13</v>
      </c>
      <c r="I951" s="4">
        <f t="shared" si="421"/>
        <v>6.1005253146458254E-13</v>
      </c>
      <c r="J951" s="4">
        <f t="shared" si="421"/>
        <v>6.1005253146458254E-13</v>
      </c>
      <c r="K951" s="4">
        <f t="shared" si="421"/>
        <v>6.1005253146458254E-13</v>
      </c>
      <c r="L951" s="4">
        <f t="shared" si="421"/>
        <v>6.1005253146458254E-13</v>
      </c>
      <c r="M951" s="4">
        <f t="shared" si="421"/>
        <v>6.1005253146458254E-13</v>
      </c>
      <c r="N951" t="s">
        <v>256</v>
      </c>
      <c r="O951" t="s">
        <v>322</v>
      </c>
      <c r="P951" t="s">
        <v>324</v>
      </c>
      <c r="Q951" t="s">
        <v>245</v>
      </c>
    </row>
    <row r="952" spans="1:17" x14ac:dyDescent="0.25">
      <c r="A952" t="s">
        <v>324</v>
      </c>
      <c r="B952" t="s">
        <v>137</v>
      </c>
      <c r="C952" s="4">
        <f t="shared" ref="C952:M952" si="422">1.80533525994585E-09 * 0.131636120265745%</f>
        <v>2.3764732939822192E-12</v>
      </c>
      <c r="D952" s="4">
        <f t="shared" si="422"/>
        <v>2.3764732939822192E-12</v>
      </c>
      <c r="E952" s="4">
        <f t="shared" si="422"/>
        <v>2.3764732939822192E-12</v>
      </c>
      <c r="F952" s="4">
        <f t="shared" si="422"/>
        <v>2.3764732939822192E-12</v>
      </c>
      <c r="G952" s="4">
        <f t="shared" si="422"/>
        <v>2.3764732939822192E-12</v>
      </c>
      <c r="H952" s="4">
        <f t="shared" si="422"/>
        <v>2.3764732939822192E-12</v>
      </c>
      <c r="I952" s="4">
        <f t="shared" si="422"/>
        <v>2.3764732939822192E-12</v>
      </c>
      <c r="J952" s="4">
        <f t="shared" si="422"/>
        <v>2.3764732939822192E-12</v>
      </c>
      <c r="K952" s="4">
        <f t="shared" si="422"/>
        <v>2.3764732939822192E-12</v>
      </c>
      <c r="L952" s="4">
        <f t="shared" si="422"/>
        <v>2.3764732939822192E-12</v>
      </c>
      <c r="M952" s="4">
        <f t="shared" si="422"/>
        <v>2.3764732939822192E-12</v>
      </c>
      <c r="N952" t="s">
        <v>256</v>
      </c>
      <c r="O952" t="s">
        <v>323</v>
      </c>
      <c r="P952" t="s">
        <v>324</v>
      </c>
      <c r="Q952" t="s">
        <v>245</v>
      </c>
    </row>
    <row r="953" spans="1:17" x14ac:dyDescent="0.25">
      <c r="A953" t="s">
        <v>324</v>
      </c>
      <c r="B953" t="s">
        <v>137</v>
      </c>
      <c r="C953" s="4">
        <f t="shared" ref="C953:M953" si="423">0.000343246436607167 * 0.131636120265745%</f>
        <v>4.5183629210009457E-7</v>
      </c>
      <c r="D953" s="4">
        <f t="shared" si="423"/>
        <v>4.5183629210009457E-7</v>
      </c>
      <c r="E953" s="4">
        <f t="shared" si="423"/>
        <v>4.5183629210009457E-7</v>
      </c>
      <c r="F953" s="4">
        <f t="shared" si="423"/>
        <v>4.5183629210009457E-7</v>
      </c>
      <c r="G953" s="4">
        <f t="shared" si="423"/>
        <v>4.5183629210009457E-7</v>
      </c>
      <c r="H953" s="4">
        <f t="shared" si="423"/>
        <v>4.5183629210009457E-7</v>
      </c>
      <c r="I953" s="4">
        <f t="shared" si="423"/>
        <v>4.5183629210009457E-7</v>
      </c>
      <c r="J953" s="4">
        <f t="shared" si="423"/>
        <v>4.5183629210009457E-7</v>
      </c>
      <c r="K953" s="4">
        <f t="shared" si="423"/>
        <v>4.5183629210009457E-7</v>
      </c>
      <c r="L953" s="4">
        <f t="shared" si="423"/>
        <v>4.5183629210009457E-7</v>
      </c>
      <c r="M953" s="4">
        <f t="shared" si="423"/>
        <v>4.5183629210009457E-7</v>
      </c>
      <c r="N953" t="s">
        <v>256</v>
      </c>
      <c r="O953" t="s">
        <v>280</v>
      </c>
      <c r="P953" t="s">
        <v>324</v>
      </c>
      <c r="Q953" t="s">
        <v>245</v>
      </c>
    </row>
    <row r="954" spans="1:17" x14ac:dyDescent="0.25">
      <c r="A954" t="s">
        <v>324</v>
      </c>
      <c r="B954" t="s">
        <v>121</v>
      </c>
      <c r="C954" s="4">
        <f t="shared" ref="C954:M954" si="424">0.212937718373242 * 1.62958135424304%</f>
        <v>3.4699933547609071E-3</v>
      </c>
      <c r="D954" s="4">
        <f t="shared" si="424"/>
        <v>3.4699933547609071E-3</v>
      </c>
      <c r="E954" s="4">
        <f t="shared" si="424"/>
        <v>3.4699933547609071E-3</v>
      </c>
      <c r="F954" s="4">
        <f t="shared" si="424"/>
        <v>3.4699933547609071E-3</v>
      </c>
      <c r="G954" s="4">
        <f t="shared" si="424"/>
        <v>3.4699933547609071E-3</v>
      </c>
      <c r="H954" s="4">
        <f t="shared" si="424"/>
        <v>3.4699933547609071E-3</v>
      </c>
      <c r="I954" s="4">
        <f t="shared" si="424"/>
        <v>3.4699933547609071E-3</v>
      </c>
      <c r="J954" s="4">
        <f t="shared" si="424"/>
        <v>3.4699933547609071E-3</v>
      </c>
      <c r="K954" s="4">
        <f t="shared" si="424"/>
        <v>3.4699933547609071E-3</v>
      </c>
      <c r="L954" s="4">
        <f t="shared" si="424"/>
        <v>3.4699933547609071E-3</v>
      </c>
      <c r="M954" s="4">
        <f t="shared" si="424"/>
        <v>3.4699933547609071E-3</v>
      </c>
      <c r="N954" t="s">
        <v>242</v>
      </c>
      <c r="O954" t="s">
        <v>327</v>
      </c>
      <c r="P954" t="s">
        <v>324</v>
      </c>
      <c r="Q954" t="s">
        <v>245</v>
      </c>
    </row>
    <row r="955" spans="1:17" x14ac:dyDescent="0.25">
      <c r="A955" t="s">
        <v>324</v>
      </c>
      <c r="B955" t="s">
        <v>121</v>
      </c>
      <c r="C955" s="4">
        <f t="shared" ref="C955:M955" si="425">0.755584923910716 * 1.62958135424304%</f>
        <v>1.2312871035520487E-2</v>
      </c>
      <c r="D955" s="4">
        <f t="shared" si="425"/>
        <v>1.2312871035520487E-2</v>
      </c>
      <c r="E955" s="4">
        <f t="shared" si="425"/>
        <v>1.2312871035520487E-2</v>
      </c>
      <c r="F955" s="4">
        <f t="shared" si="425"/>
        <v>1.2312871035520487E-2</v>
      </c>
      <c r="G955" s="4">
        <f t="shared" si="425"/>
        <v>1.2312871035520487E-2</v>
      </c>
      <c r="H955" s="4">
        <f t="shared" si="425"/>
        <v>1.2312871035520487E-2</v>
      </c>
      <c r="I955" s="4">
        <f t="shared" si="425"/>
        <v>1.2312871035520487E-2</v>
      </c>
      <c r="J955" s="4">
        <f t="shared" si="425"/>
        <v>1.2312871035520487E-2</v>
      </c>
      <c r="K955" s="4">
        <f t="shared" si="425"/>
        <v>1.2312871035520487E-2</v>
      </c>
      <c r="L955" s="4">
        <f t="shared" si="425"/>
        <v>1.2312871035520487E-2</v>
      </c>
      <c r="M955" s="4">
        <f t="shared" si="425"/>
        <v>1.2312871035520487E-2</v>
      </c>
      <c r="N955" t="s">
        <v>242</v>
      </c>
      <c r="O955" t="s">
        <v>326</v>
      </c>
      <c r="P955" t="s">
        <v>324</v>
      </c>
      <c r="Q955" t="s">
        <v>245</v>
      </c>
    </row>
    <row r="956" spans="1:17" x14ac:dyDescent="0.25">
      <c r="A956" t="s">
        <v>324</v>
      </c>
      <c r="B956" t="s">
        <v>121</v>
      </c>
      <c r="C956" s="4">
        <f t="shared" ref="C956:M956" si="426">0.00154025450133466 * 1.62958135424304%</f>
        <v>2.5099700161638731E-5</v>
      </c>
      <c r="D956" s="4">
        <f t="shared" si="426"/>
        <v>2.5099700161638731E-5</v>
      </c>
      <c r="E956" s="4">
        <f t="shared" si="426"/>
        <v>2.5099700161638731E-5</v>
      </c>
      <c r="F956" s="4">
        <f t="shared" si="426"/>
        <v>2.5099700161638731E-5</v>
      </c>
      <c r="G956" s="4">
        <f t="shared" si="426"/>
        <v>2.5099700161638731E-5</v>
      </c>
      <c r="H956" s="4">
        <f t="shared" si="426"/>
        <v>2.5099700161638731E-5</v>
      </c>
      <c r="I956" s="4">
        <f t="shared" si="426"/>
        <v>2.5099700161638731E-5</v>
      </c>
      <c r="J956" s="4">
        <f t="shared" si="426"/>
        <v>2.5099700161638731E-5</v>
      </c>
      <c r="K956" s="4">
        <f t="shared" si="426"/>
        <v>2.5099700161638731E-5</v>
      </c>
      <c r="L956" s="4">
        <f t="shared" si="426"/>
        <v>2.5099700161638731E-5</v>
      </c>
      <c r="M956" s="4">
        <f t="shared" si="426"/>
        <v>2.5099700161638731E-5</v>
      </c>
      <c r="N956" t="s">
        <v>242</v>
      </c>
      <c r="O956" t="s">
        <v>289</v>
      </c>
      <c r="P956" t="s">
        <v>324</v>
      </c>
      <c r="Q956" t="s">
        <v>245</v>
      </c>
    </row>
    <row r="957" spans="1:17" x14ac:dyDescent="0.25">
      <c r="A957" t="s">
        <v>324</v>
      </c>
      <c r="B957" t="s">
        <v>121</v>
      </c>
      <c r="C957" s="4">
        <f t="shared" ref="C957:M957" si="427">4.63438553364394E-10 * 1.62958135424304%</f>
        <v>7.5521082539998444E-12</v>
      </c>
      <c r="D957" s="4">
        <f t="shared" si="427"/>
        <v>7.5521082539998444E-12</v>
      </c>
      <c r="E957" s="4">
        <f t="shared" si="427"/>
        <v>7.5521082539998444E-12</v>
      </c>
      <c r="F957" s="4">
        <f t="shared" si="427"/>
        <v>7.5521082539998444E-12</v>
      </c>
      <c r="G957" s="4">
        <f t="shared" si="427"/>
        <v>7.5521082539998444E-12</v>
      </c>
      <c r="H957" s="4">
        <f t="shared" si="427"/>
        <v>7.5521082539998444E-12</v>
      </c>
      <c r="I957" s="4">
        <f t="shared" si="427"/>
        <v>7.5521082539998444E-12</v>
      </c>
      <c r="J957" s="4">
        <f t="shared" si="427"/>
        <v>7.5521082539998444E-12</v>
      </c>
      <c r="K957" s="4">
        <f t="shared" si="427"/>
        <v>7.5521082539998444E-12</v>
      </c>
      <c r="L957" s="4">
        <f t="shared" si="427"/>
        <v>7.5521082539998444E-12</v>
      </c>
      <c r="M957" s="4">
        <f t="shared" si="427"/>
        <v>7.5521082539998444E-12</v>
      </c>
      <c r="N957" t="s">
        <v>256</v>
      </c>
      <c r="O957" t="s">
        <v>322</v>
      </c>
      <c r="P957" t="s">
        <v>324</v>
      </c>
      <c r="Q957" t="s">
        <v>245</v>
      </c>
    </row>
    <row r="958" spans="1:17" x14ac:dyDescent="0.25">
      <c r="A958" t="s">
        <v>324</v>
      </c>
      <c r="B958" t="s">
        <v>121</v>
      </c>
      <c r="C958" s="4">
        <f t="shared" ref="C958:M958" si="428">1.80533525994585E-09 * 1.62958135424304%</f>
        <v>2.9419406777652682E-11</v>
      </c>
      <c r="D958" s="4">
        <f t="shared" si="428"/>
        <v>2.9419406777652682E-11</v>
      </c>
      <c r="E958" s="4">
        <f t="shared" si="428"/>
        <v>2.9419406777652682E-11</v>
      </c>
      <c r="F958" s="4">
        <f t="shared" si="428"/>
        <v>2.9419406777652682E-11</v>
      </c>
      <c r="G958" s="4">
        <f t="shared" si="428"/>
        <v>2.9419406777652682E-11</v>
      </c>
      <c r="H958" s="4">
        <f t="shared" si="428"/>
        <v>2.9419406777652682E-11</v>
      </c>
      <c r="I958" s="4">
        <f t="shared" si="428"/>
        <v>2.9419406777652682E-11</v>
      </c>
      <c r="J958" s="4">
        <f t="shared" si="428"/>
        <v>2.9419406777652682E-11</v>
      </c>
      <c r="K958" s="4">
        <f t="shared" si="428"/>
        <v>2.9419406777652682E-11</v>
      </c>
      <c r="L958" s="4">
        <f t="shared" si="428"/>
        <v>2.9419406777652682E-11</v>
      </c>
      <c r="M958" s="4">
        <f t="shared" si="428"/>
        <v>2.9419406777652682E-11</v>
      </c>
      <c r="N958" t="s">
        <v>256</v>
      </c>
      <c r="O958" t="s">
        <v>323</v>
      </c>
      <c r="P958" t="s">
        <v>324</v>
      </c>
      <c r="Q958" t="s">
        <v>245</v>
      </c>
    </row>
    <row r="959" spans="1:17" x14ac:dyDescent="0.25">
      <c r="A959" t="s">
        <v>324</v>
      </c>
      <c r="B959" t="s">
        <v>121</v>
      </c>
      <c r="C959" s="4">
        <f t="shared" ref="C959:M959" si="429">0.000343246436607167 * 1.62958135424304%</f>
        <v>5.5934799300540489E-6</v>
      </c>
      <c r="D959" s="4">
        <f t="shared" si="429"/>
        <v>5.5934799300540489E-6</v>
      </c>
      <c r="E959" s="4">
        <f t="shared" si="429"/>
        <v>5.5934799300540489E-6</v>
      </c>
      <c r="F959" s="4">
        <f t="shared" si="429"/>
        <v>5.5934799300540489E-6</v>
      </c>
      <c r="G959" s="4">
        <f t="shared" si="429"/>
        <v>5.5934799300540489E-6</v>
      </c>
      <c r="H959" s="4">
        <f t="shared" si="429"/>
        <v>5.5934799300540489E-6</v>
      </c>
      <c r="I959" s="4">
        <f t="shared" si="429"/>
        <v>5.5934799300540489E-6</v>
      </c>
      <c r="J959" s="4">
        <f t="shared" si="429"/>
        <v>5.5934799300540489E-6</v>
      </c>
      <c r="K959" s="4">
        <f t="shared" si="429"/>
        <v>5.5934799300540489E-6</v>
      </c>
      <c r="L959" s="4">
        <f t="shared" si="429"/>
        <v>5.5934799300540489E-6</v>
      </c>
      <c r="M959" s="4">
        <f t="shared" si="429"/>
        <v>5.5934799300540489E-6</v>
      </c>
      <c r="N959" t="s">
        <v>256</v>
      </c>
      <c r="O959" t="s">
        <v>280</v>
      </c>
      <c r="P959" t="s">
        <v>324</v>
      </c>
      <c r="Q959" t="s">
        <v>245</v>
      </c>
    </row>
    <row r="960" spans="1:17" x14ac:dyDescent="0.25">
      <c r="A960" t="s">
        <v>324</v>
      </c>
      <c r="B960" t="s">
        <v>138</v>
      </c>
      <c r="C960" s="4">
        <f t="shared" ref="C960:M960" si="430">0.212937718373242 * 0.897519672854141%</f>
        <v>1.9111579133265937E-3</v>
      </c>
      <c r="D960" s="4">
        <f t="shared" si="430"/>
        <v>1.9111579133265937E-3</v>
      </c>
      <c r="E960" s="4">
        <f t="shared" si="430"/>
        <v>1.9111579133265937E-3</v>
      </c>
      <c r="F960" s="4">
        <f t="shared" si="430"/>
        <v>1.9111579133265937E-3</v>
      </c>
      <c r="G960" s="4">
        <f t="shared" si="430"/>
        <v>1.9111579133265937E-3</v>
      </c>
      <c r="H960" s="4">
        <f t="shared" si="430"/>
        <v>1.9111579133265937E-3</v>
      </c>
      <c r="I960" s="4">
        <f t="shared" si="430"/>
        <v>1.9111579133265937E-3</v>
      </c>
      <c r="J960" s="4">
        <f t="shared" si="430"/>
        <v>1.9111579133265937E-3</v>
      </c>
      <c r="K960" s="4">
        <f t="shared" si="430"/>
        <v>1.9111579133265937E-3</v>
      </c>
      <c r="L960" s="4">
        <f t="shared" si="430"/>
        <v>1.9111579133265937E-3</v>
      </c>
      <c r="M960" s="4">
        <f t="shared" si="430"/>
        <v>1.9111579133265937E-3</v>
      </c>
      <c r="N960" t="s">
        <v>242</v>
      </c>
      <c r="O960" t="s">
        <v>327</v>
      </c>
      <c r="P960" t="s">
        <v>324</v>
      </c>
      <c r="Q960" t="s">
        <v>245</v>
      </c>
    </row>
    <row r="961" spans="1:17" x14ac:dyDescent="0.25">
      <c r="A961" t="s">
        <v>324</v>
      </c>
      <c r="B961" t="s">
        <v>138</v>
      </c>
      <c r="C961" s="4">
        <f t="shared" ref="C961:M961" si="431">0.755584923910716 * 0.897519672854141%</f>
        <v>6.781523337218669E-3</v>
      </c>
      <c r="D961" s="4">
        <f t="shared" si="431"/>
        <v>6.781523337218669E-3</v>
      </c>
      <c r="E961" s="4">
        <f t="shared" si="431"/>
        <v>6.781523337218669E-3</v>
      </c>
      <c r="F961" s="4">
        <f t="shared" si="431"/>
        <v>6.781523337218669E-3</v>
      </c>
      <c r="G961" s="4">
        <f t="shared" si="431"/>
        <v>6.781523337218669E-3</v>
      </c>
      <c r="H961" s="4">
        <f t="shared" si="431"/>
        <v>6.781523337218669E-3</v>
      </c>
      <c r="I961" s="4">
        <f t="shared" si="431"/>
        <v>6.781523337218669E-3</v>
      </c>
      <c r="J961" s="4">
        <f t="shared" si="431"/>
        <v>6.781523337218669E-3</v>
      </c>
      <c r="K961" s="4">
        <f t="shared" si="431"/>
        <v>6.781523337218669E-3</v>
      </c>
      <c r="L961" s="4">
        <f t="shared" si="431"/>
        <v>6.781523337218669E-3</v>
      </c>
      <c r="M961" s="4">
        <f t="shared" si="431"/>
        <v>6.781523337218669E-3</v>
      </c>
      <c r="N961" t="s">
        <v>242</v>
      </c>
      <c r="O961" t="s">
        <v>326</v>
      </c>
      <c r="P961" t="s">
        <v>324</v>
      </c>
      <c r="Q961" t="s">
        <v>245</v>
      </c>
    </row>
    <row r="962" spans="1:17" x14ac:dyDescent="0.25">
      <c r="A962" t="s">
        <v>324</v>
      </c>
      <c r="B962" t="s">
        <v>138</v>
      </c>
      <c r="C962" s="4">
        <f t="shared" ref="C962:M962" si="432">0.00154025450133466 * 0.897519672854141%</f>
        <v>1.3824087161500023E-5</v>
      </c>
      <c r="D962" s="4">
        <f t="shared" si="432"/>
        <v>1.3824087161500023E-5</v>
      </c>
      <c r="E962" s="4">
        <f t="shared" si="432"/>
        <v>1.3824087161500023E-5</v>
      </c>
      <c r="F962" s="4">
        <f t="shared" si="432"/>
        <v>1.3824087161500023E-5</v>
      </c>
      <c r="G962" s="4">
        <f t="shared" si="432"/>
        <v>1.3824087161500023E-5</v>
      </c>
      <c r="H962" s="4">
        <f t="shared" si="432"/>
        <v>1.3824087161500023E-5</v>
      </c>
      <c r="I962" s="4">
        <f t="shared" si="432"/>
        <v>1.3824087161500023E-5</v>
      </c>
      <c r="J962" s="4">
        <f t="shared" si="432"/>
        <v>1.3824087161500023E-5</v>
      </c>
      <c r="K962" s="4">
        <f t="shared" si="432"/>
        <v>1.3824087161500023E-5</v>
      </c>
      <c r="L962" s="4">
        <f t="shared" si="432"/>
        <v>1.3824087161500023E-5</v>
      </c>
      <c r="M962" s="4">
        <f t="shared" si="432"/>
        <v>1.3824087161500023E-5</v>
      </c>
      <c r="N962" t="s">
        <v>242</v>
      </c>
      <c r="O962" t="s">
        <v>289</v>
      </c>
      <c r="P962" t="s">
        <v>324</v>
      </c>
      <c r="Q962" t="s">
        <v>245</v>
      </c>
    </row>
    <row r="963" spans="1:17" x14ac:dyDescent="0.25">
      <c r="A963" t="s">
        <v>324</v>
      </c>
      <c r="B963" t="s">
        <v>138</v>
      </c>
      <c r="C963" s="4">
        <f t="shared" ref="C963:M963" si="433">4.63438553364394E-10 * 0.897519672854141%</f>
        <v>4.1594521880360729E-12</v>
      </c>
      <c r="D963" s="4">
        <f t="shared" si="433"/>
        <v>4.1594521880360729E-12</v>
      </c>
      <c r="E963" s="4">
        <f t="shared" si="433"/>
        <v>4.1594521880360729E-12</v>
      </c>
      <c r="F963" s="4">
        <f t="shared" si="433"/>
        <v>4.1594521880360729E-12</v>
      </c>
      <c r="G963" s="4">
        <f t="shared" si="433"/>
        <v>4.1594521880360729E-12</v>
      </c>
      <c r="H963" s="4">
        <f t="shared" si="433"/>
        <v>4.1594521880360729E-12</v>
      </c>
      <c r="I963" s="4">
        <f t="shared" si="433"/>
        <v>4.1594521880360729E-12</v>
      </c>
      <c r="J963" s="4">
        <f t="shared" si="433"/>
        <v>4.1594521880360729E-12</v>
      </c>
      <c r="K963" s="4">
        <f t="shared" si="433"/>
        <v>4.1594521880360729E-12</v>
      </c>
      <c r="L963" s="4">
        <f t="shared" si="433"/>
        <v>4.1594521880360729E-12</v>
      </c>
      <c r="M963" s="4">
        <f t="shared" si="433"/>
        <v>4.1594521880360729E-12</v>
      </c>
      <c r="N963" t="s">
        <v>256</v>
      </c>
      <c r="O963" t="s">
        <v>322</v>
      </c>
      <c r="P963" t="s">
        <v>324</v>
      </c>
      <c r="Q963" t="s">
        <v>245</v>
      </c>
    </row>
    <row r="964" spans="1:17" x14ac:dyDescent="0.25">
      <c r="A964" t="s">
        <v>324</v>
      </c>
      <c r="B964" t="s">
        <v>138</v>
      </c>
      <c r="C964" s="4">
        <f t="shared" ref="C964:M964" si="434">1.80533525994585E-09 * 0.897519672854141%</f>
        <v>1.620323911898645E-11</v>
      </c>
      <c r="D964" s="4">
        <f t="shared" si="434"/>
        <v>1.620323911898645E-11</v>
      </c>
      <c r="E964" s="4">
        <f t="shared" si="434"/>
        <v>1.620323911898645E-11</v>
      </c>
      <c r="F964" s="4">
        <f t="shared" si="434"/>
        <v>1.620323911898645E-11</v>
      </c>
      <c r="G964" s="4">
        <f t="shared" si="434"/>
        <v>1.620323911898645E-11</v>
      </c>
      <c r="H964" s="4">
        <f t="shared" si="434"/>
        <v>1.620323911898645E-11</v>
      </c>
      <c r="I964" s="4">
        <f t="shared" si="434"/>
        <v>1.620323911898645E-11</v>
      </c>
      <c r="J964" s="4">
        <f t="shared" si="434"/>
        <v>1.620323911898645E-11</v>
      </c>
      <c r="K964" s="4">
        <f t="shared" si="434"/>
        <v>1.620323911898645E-11</v>
      </c>
      <c r="L964" s="4">
        <f t="shared" si="434"/>
        <v>1.620323911898645E-11</v>
      </c>
      <c r="M964" s="4">
        <f t="shared" si="434"/>
        <v>1.620323911898645E-11</v>
      </c>
      <c r="N964" t="s">
        <v>256</v>
      </c>
      <c r="O964" t="s">
        <v>323</v>
      </c>
      <c r="P964" t="s">
        <v>324</v>
      </c>
      <c r="Q964" t="s">
        <v>245</v>
      </c>
    </row>
    <row r="965" spans="1:17" x14ac:dyDescent="0.25">
      <c r="A965" t="s">
        <v>324</v>
      </c>
      <c r="B965" t="s">
        <v>138</v>
      </c>
      <c r="C965" s="4">
        <f t="shared" ref="C965:M965" si="435">0.000343246436607167 * 0.897519672854141%</f>
        <v>3.0807042949201417E-6</v>
      </c>
      <c r="D965" s="4">
        <f t="shared" si="435"/>
        <v>3.0807042949201417E-6</v>
      </c>
      <c r="E965" s="4">
        <f t="shared" si="435"/>
        <v>3.0807042949201417E-6</v>
      </c>
      <c r="F965" s="4">
        <f t="shared" si="435"/>
        <v>3.0807042949201417E-6</v>
      </c>
      <c r="G965" s="4">
        <f t="shared" si="435"/>
        <v>3.0807042949201417E-6</v>
      </c>
      <c r="H965" s="4">
        <f t="shared" si="435"/>
        <v>3.0807042949201417E-6</v>
      </c>
      <c r="I965" s="4">
        <f t="shared" si="435"/>
        <v>3.0807042949201417E-6</v>
      </c>
      <c r="J965" s="4">
        <f t="shared" si="435"/>
        <v>3.0807042949201417E-6</v>
      </c>
      <c r="K965" s="4">
        <f t="shared" si="435"/>
        <v>3.0807042949201417E-6</v>
      </c>
      <c r="L965" s="4">
        <f t="shared" si="435"/>
        <v>3.0807042949201417E-6</v>
      </c>
      <c r="M965" s="4">
        <f t="shared" si="435"/>
        <v>3.0807042949201417E-6</v>
      </c>
      <c r="N965" t="s">
        <v>256</v>
      </c>
      <c r="O965" t="s">
        <v>280</v>
      </c>
      <c r="P965" t="s">
        <v>324</v>
      </c>
      <c r="Q965" t="s">
        <v>245</v>
      </c>
    </row>
    <row r="966" spans="1:17" x14ac:dyDescent="0.25">
      <c r="A966" t="s">
        <v>324</v>
      </c>
      <c r="B966" t="s">
        <v>112</v>
      </c>
      <c r="C966" s="4">
        <f t="shared" ref="C966:M966" si="436">0.212937718373242 * 0.483814002148055%</f>
        <v>1.0302224973443362E-3</v>
      </c>
      <c r="D966" s="4">
        <f t="shared" si="436"/>
        <v>1.0302224973443362E-3</v>
      </c>
      <c r="E966" s="4">
        <f t="shared" si="436"/>
        <v>1.0302224973443362E-3</v>
      </c>
      <c r="F966" s="4">
        <f t="shared" si="436"/>
        <v>1.0302224973443362E-3</v>
      </c>
      <c r="G966" s="4">
        <f t="shared" si="436"/>
        <v>1.0302224973443362E-3</v>
      </c>
      <c r="H966" s="4">
        <f t="shared" si="436"/>
        <v>1.0302224973443362E-3</v>
      </c>
      <c r="I966" s="4">
        <f t="shared" si="436"/>
        <v>1.0302224973443362E-3</v>
      </c>
      <c r="J966" s="4">
        <f t="shared" si="436"/>
        <v>1.0302224973443362E-3</v>
      </c>
      <c r="K966" s="4">
        <f t="shared" si="436"/>
        <v>1.0302224973443362E-3</v>
      </c>
      <c r="L966" s="4">
        <f t="shared" si="436"/>
        <v>1.0302224973443362E-3</v>
      </c>
      <c r="M966" s="4">
        <f t="shared" si="436"/>
        <v>1.0302224973443362E-3</v>
      </c>
      <c r="N966" t="s">
        <v>242</v>
      </c>
      <c r="O966" t="s">
        <v>327</v>
      </c>
      <c r="P966" t="s">
        <v>324</v>
      </c>
      <c r="Q966" t="s">
        <v>245</v>
      </c>
    </row>
    <row r="967" spans="1:17" x14ac:dyDescent="0.25">
      <c r="A967" t="s">
        <v>324</v>
      </c>
      <c r="B967" t="s">
        <v>112</v>
      </c>
      <c r="C967" s="4">
        <f t="shared" ref="C967:M967" si="437">0.755584923910716 * 0.483814002148055%</f>
        <v>3.6556256599997706E-3</v>
      </c>
      <c r="D967" s="4">
        <f t="shared" si="437"/>
        <v>3.6556256599997706E-3</v>
      </c>
      <c r="E967" s="4">
        <f t="shared" si="437"/>
        <v>3.6556256599997706E-3</v>
      </c>
      <c r="F967" s="4">
        <f t="shared" si="437"/>
        <v>3.6556256599997706E-3</v>
      </c>
      <c r="G967" s="4">
        <f t="shared" si="437"/>
        <v>3.6556256599997706E-3</v>
      </c>
      <c r="H967" s="4">
        <f t="shared" si="437"/>
        <v>3.6556256599997706E-3</v>
      </c>
      <c r="I967" s="4">
        <f t="shared" si="437"/>
        <v>3.6556256599997706E-3</v>
      </c>
      <c r="J967" s="4">
        <f t="shared" si="437"/>
        <v>3.6556256599997706E-3</v>
      </c>
      <c r="K967" s="4">
        <f t="shared" si="437"/>
        <v>3.6556256599997706E-3</v>
      </c>
      <c r="L967" s="4">
        <f t="shared" si="437"/>
        <v>3.6556256599997706E-3</v>
      </c>
      <c r="M967" s="4">
        <f t="shared" si="437"/>
        <v>3.6556256599997706E-3</v>
      </c>
      <c r="N967" t="s">
        <v>242</v>
      </c>
      <c r="O967" t="s">
        <v>326</v>
      </c>
      <c r="P967" t="s">
        <v>324</v>
      </c>
      <c r="Q967" t="s">
        <v>245</v>
      </c>
    </row>
    <row r="968" spans="1:17" x14ac:dyDescent="0.25">
      <c r="A968" t="s">
        <v>324</v>
      </c>
      <c r="B968" t="s">
        <v>112</v>
      </c>
      <c r="C968" s="4">
        <f t="shared" ref="C968:M968" si="438">0.00154025450133466 * 0.483814002148055%</f>
        <v>7.4519669461727847E-6</v>
      </c>
      <c r="D968" s="4">
        <f t="shared" si="438"/>
        <v>7.4519669461727847E-6</v>
      </c>
      <c r="E968" s="4">
        <f t="shared" si="438"/>
        <v>7.4519669461727847E-6</v>
      </c>
      <c r="F968" s="4">
        <f t="shared" si="438"/>
        <v>7.4519669461727847E-6</v>
      </c>
      <c r="G968" s="4">
        <f t="shared" si="438"/>
        <v>7.4519669461727847E-6</v>
      </c>
      <c r="H968" s="4">
        <f t="shared" si="438"/>
        <v>7.4519669461727847E-6</v>
      </c>
      <c r="I968" s="4">
        <f t="shared" si="438"/>
        <v>7.4519669461727847E-6</v>
      </c>
      <c r="J968" s="4">
        <f t="shared" si="438"/>
        <v>7.4519669461727847E-6</v>
      </c>
      <c r="K968" s="4">
        <f t="shared" si="438"/>
        <v>7.4519669461727847E-6</v>
      </c>
      <c r="L968" s="4">
        <f t="shared" si="438"/>
        <v>7.4519669461727847E-6</v>
      </c>
      <c r="M968" s="4">
        <f t="shared" si="438"/>
        <v>7.4519669461727847E-6</v>
      </c>
      <c r="N968" t="s">
        <v>242</v>
      </c>
      <c r="O968" t="s">
        <v>289</v>
      </c>
      <c r="P968" t="s">
        <v>324</v>
      </c>
      <c r="Q968" t="s">
        <v>245</v>
      </c>
    </row>
    <row r="969" spans="1:17" x14ac:dyDescent="0.25">
      <c r="A969" t="s">
        <v>324</v>
      </c>
      <c r="B969" t="s">
        <v>112</v>
      </c>
      <c r="C969" s="4">
        <f t="shared" ref="C969:M969" si="439">4.63438553364394E-10 * 0.483814002148055%</f>
        <v>2.2421806125293237E-12</v>
      </c>
      <c r="D969" s="4">
        <f t="shared" si="439"/>
        <v>2.2421806125293237E-12</v>
      </c>
      <c r="E969" s="4">
        <f t="shared" si="439"/>
        <v>2.2421806125293237E-12</v>
      </c>
      <c r="F969" s="4">
        <f t="shared" si="439"/>
        <v>2.2421806125293237E-12</v>
      </c>
      <c r="G969" s="4">
        <f t="shared" si="439"/>
        <v>2.2421806125293237E-12</v>
      </c>
      <c r="H969" s="4">
        <f t="shared" si="439"/>
        <v>2.2421806125293237E-12</v>
      </c>
      <c r="I969" s="4">
        <f t="shared" si="439"/>
        <v>2.2421806125293237E-12</v>
      </c>
      <c r="J969" s="4">
        <f t="shared" si="439"/>
        <v>2.2421806125293237E-12</v>
      </c>
      <c r="K969" s="4">
        <f t="shared" si="439"/>
        <v>2.2421806125293237E-12</v>
      </c>
      <c r="L969" s="4">
        <f t="shared" si="439"/>
        <v>2.2421806125293237E-12</v>
      </c>
      <c r="M969" s="4">
        <f t="shared" si="439"/>
        <v>2.2421806125293237E-12</v>
      </c>
      <c r="N969" t="s">
        <v>256</v>
      </c>
      <c r="O969" t="s">
        <v>322</v>
      </c>
      <c r="P969" t="s">
        <v>324</v>
      </c>
      <c r="Q969" t="s">
        <v>245</v>
      </c>
    </row>
    <row r="970" spans="1:17" x14ac:dyDescent="0.25">
      <c r="A970" t="s">
        <v>324</v>
      </c>
      <c r="B970" t="s">
        <v>112</v>
      </c>
      <c r="C970" s="4">
        <f t="shared" ref="C970:M970" si="440">1.80533525994585E-09 * 0.483814002148055%</f>
        <v>8.734464773334008E-12</v>
      </c>
      <c r="D970" s="4">
        <f t="shared" si="440"/>
        <v>8.734464773334008E-12</v>
      </c>
      <c r="E970" s="4">
        <f t="shared" si="440"/>
        <v>8.734464773334008E-12</v>
      </c>
      <c r="F970" s="4">
        <f t="shared" si="440"/>
        <v>8.734464773334008E-12</v>
      </c>
      <c r="G970" s="4">
        <f t="shared" si="440"/>
        <v>8.734464773334008E-12</v>
      </c>
      <c r="H970" s="4">
        <f t="shared" si="440"/>
        <v>8.734464773334008E-12</v>
      </c>
      <c r="I970" s="4">
        <f t="shared" si="440"/>
        <v>8.734464773334008E-12</v>
      </c>
      <c r="J970" s="4">
        <f t="shared" si="440"/>
        <v>8.734464773334008E-12</v>
      </c>
      <c r="K970" s="4">
        <f t="shared" si="440"/>
        <v>8.734464773334008E-12</v>
      </c>
      <c r="L970" s="4">
        <f t="shared" si="440"/>
        <v>8.734464773334008E-12</v>
      </c>
      <c r="M970" s="4">
        <f t="shared" si="440"/>
        <v>8.734464773334008E-12</v>
      </c>
      <c r="N970" t="s">
        <v>256</v>
      </c>
      <c r="O970" t="s">
        <v>323</v>
      </c>
      <c r="P970" t="s">
        <v>324</v>
      </c>
      <c r="Q970" t="s">
        <v>245</v>
      </c>
    </row>
    <row r="971" spans="1:17" x14ac:dyDescent="0.25">
      <c r="A971" t="s">
        <v>324</v>
      </c>
      <c r="B971" t="s">
        <v>112</v>
      </c>
      <c r="C971" s="4">
        <f t="shared" ref="C971:M971" si="441">0.000343246436607167 * 0.483814002148055%</f>
        <v>1.660674322179721E-6</v>
      </c>
      <c r="D971" s="4">
        <f t="shared" si="441"/>
        <v>1.660674322179721E-6</v>
      </c>
      <c r="E971" s="4">
        <f t="shared" si="441"/>
        <v>1.660674322179721E-6</v>
      </c>
      <c r="F971" s="4">
        <f t="shared" si="441"/>
        <v>1.660674322179721E-6</v>
      </c>
      <c r="G971" s="4">
        <f t="shared" si="441"/>
        <v>1.660674322179721E-6</v>
      </c>
      <c r="H971" s="4">
        <f t="shared" si="441"/>
        <v>1.660674322179721E-6</v>
      </c>
      <c r="I971" s="4">
        <f t="shared" si="441"/>
        <v>1.660674322179721E-6</v>
      </c>
      <c r="J971" s="4">
        <f t="shared" si="441"/>
        <v>1.660674322179721E-6</v>
      </c>
      <c r="K971" s="4">
        <f t="shared" si="441"/>
        <v>1.660674322179721E-6</v>
      </c>
      <c r="L971" s="4">
        <f t="shared" si="441"/>
        <v>1.660674322179721E-6</v>
      </c>
      <c r="M971" s="4">
        <f t="shared" si="441"/>
        <v>1.660674322179721E-6</v>
      </c>
      <c r="N971" t="s">
        <v>256</v>
      </c>
      <c r="O971" t="s">
        <v>280</v>
      </c>
      <c r="P971" t="s">
        <v>324</v>
      </c>
      <c r="Q971" t="s">
        <v>245</v>
      </c>
    </row>
    <row r="972" spans="1:17" x14ac:dyDescent="0.25">
      <c r="A972" t="s">
        <v>324</v>
      </c>
      <c r="B972" t="s">
        <v>113</v>
      </c>
      <c r="C972" s="4">
        <f t="shared" ref="C972:M972" si="442">0.212937718373242 * 4.15084364277218%</f>
        <v>8.8387117461598448E-3</v>
      </c>
      <c r="D972" s="4">
        <f t="shared" si="442"/>
        <v>8.8387117461598448E-3</v>
      </c>
      <c r="E972" s="4">
        <f t="shared" si="442"/>
        <v>8.8387117461598448E-3</v>
      </c>
      <c r="F972" s="4">
        <f t="shared" si="442"/>
        <v>8.8387117461598448E-3</v>
      </c>
      <c r="G972" s="4">
        <f t="shared" si="442"/>
        <v>8.8387117461598448E-3</v>
      </c>
      <c r="H972" s="4">
        <f t="shared" si="442"/>
        <v>8.8387117461598448E-3</v>
      </c>
      <c r="I972" s="4">
        <f t="shared" si="442"/>
        <v>8.8387117461598448E-3</v>
      </c>
      <c r="J972" s="4">
        <f t="shared" si="442"/>
        <v>8.8387117461598448E-3</v>
      </c>
      <c r="K972" s="4">
        <f t="shared" si="442"/>
        <v>8.8387117461598448E-3</v>
      </c>
      <c r="L972" s="4">
        <f t="shared" si="442"/>
        <v>8.8387117461598448E-3</v>
      </c>
      <c r="M972" s="4">
        <f t="shared" si="442"/>
        <v>8.8387117461598448E-3</v>
      </c>
      <c r="N972" t="s">
        <v>242</v>
      </c>
      <c r="O972" t="s">
        <v>327</v>
      </c>
      <c r="P972" t="s">
        <v>324</v>
      </c>
      <c r="Q972" t="s">
        <v>245</v>
      </c>
    </row>
    <row r="973" spans="1:17" x14ac:dyDescent="0.25">
      <c r="A973" t="s">
        <v>324</v>
      </c>
      <c r="B973" t="s">
        <v>113</v>
      </c>
      <c r="C973" s="4">
        <f t="shared" ref="C973:M973" si="443">0.755584923910716 * 4.15084364277218%</f>
        <v>3.136314877989297E-2</v>
      </c>
      <c r="D973" s="4">
        <f t="shared" si="443"/>
        <v>3.136314877989297E-2</v>
      </c>
      <c r="E973" s="4">
        <f t="shared" si="443"/>
        <v>3.136314877989297E-2</v>
      </c>
      <c r="F973" s="4">
        <f t="shared" si="443"/>
        <v>3.136314877989297E-2</v>
      </c>
      <c r="G973" s="4">
        <f t="shared" si="443"/>
        <v>3.136314877989297E-2</v>
      </c>
      <c r="H973" s="4">
        <f t="shared" si="443"/>
        <v>3.136314877989297E-2</v>
      </c>
      <c r="I973" s="4">
        <f t="shared" si="443"/>
        <v>3.136314877989297E-2</v>
      </c>
      <c r="J973" s="4">
        <f t="shared" si="443"/>
        <v>3.136314877989297E-2</v>
      </c>
      <c r="K973" s="4">
        <f t="shared" si="443"/>
        <v>3.136314877989297E-2</v>
      </c>
      <c r="L973" s="4">
        <f t="shared" si="443"/>
        <v>3.136314877989297E-2</v>
      </c>
      <c r="M973" s="4">
        <f t="shared" si="443"/>
        <v>3.136314877989297E-2</v>
      </c>
      <c r="N973" t="s">
        <v>242</v>
      </c>
      <c r="O973" t="s">
        <v>326</v>
      </c>
      <c r="P973" t="s">
        <v>324</v>
      </c>
      <c r="Q973" t="s">
        <v>245</v>
      </c>
    </row>
    <row r="974" spans="1:17" x14ac:dyDescent="0.25">
      <c r="A974" t="s">
        <v>324</v>
      </c>
      <c r="B974" t="s">
        <v>113</v>
      </c>
      <c r="C974" s="4">
        <f t="shared" ref="C974:M974" si="444">0.00154025450133466 * 4.15084364277218%</f>
        <v>6.3933556051162091E-5</v>
      </c>
      <c r="D974" s="4">
        <f t="shared" si="444"/>
        <v>6.3933556051162091E-5</v>
      </c>
      <c r="E974" s="4">
        <f t="shared" si="444"/>
        <v>6.3933556051162091E-5</v>
      </c>
      <c r="F974" s="4">
        <f t="shared" si="444"/>
        <v>6.3933556051162091E-5</v>
      </c>
      <c r="G974" s="4">
        <f t="shared" si="444"/>
        <v>6.3933556051162091E-5</v>
      </c>
      <c r="H974" s="4">
        <f t="shared" si="444"/>
        <v>6.3933556051162091E-5</v>
      </c>
      <c r="I974" s="4">
        <f t="shared" si="444"/>
        <v>6.3933556051162091E-5</v>
      </c>
      <c r="J974" s="4">
        <f t="shared" si="444"/>
        <v>6.3933556051162091E-5</v>
      </c>
      <c r="K974" s="4">
        <f t="shared" si="444"/>
        <v>6.3933556051162091E-5</v>
      </c>
      <c r="L974" s="4">
        <f t="shared" si="444"/>
        <v>6.3933556051162091E-5</v>
      </c>
      <c r="M974" s="4">
        <f t="shared" si="444"/>
        <v>6.3933556051162091E-5</v>
      </c>
      <c r="N974" t="s">
        <v>242</v>
      </c>
      <c r="O974" t="s">
        <v>289</v>
      </c>
      <c r="P974" t="s">
        <v>324</v>
      </c>
      <c r="Q974" t="s">
        <v>245</v>
      </c>
    </row>
    <row r="975" spans="1:17" x14ac:dyDescent="0.25">
      <c r="A975" t="s">
        <v>324</v>
      </c>
      <c r="B975" t="s">
        <v>113</v>
      </c>
      <c r="C975" s="4">
        <f t="shared" ref="C975:M975" si="445">4.63438553364394E-10 * 4.15084364277218%</f>
        <v>1.9236609730481306E-11</v>
      </c>
      <c r="D975" s="4">
        <f t="shared" si="445"/>
        <v>1.9236609730481306E-11</v>
      </c>
      <c r="E975" s="4">
        <f t="shared" si="445"/>
        <v>1.9236609730481306E-11</v>
      </c>
      <c r="F975" s="4">
        <f t="shared" si="445"/>
        <v>1.9236609730481306E-11</v>
      </c>
      <c r="G975" s="4">
        <f t="shared" si="445"/>
        <v>1.9236609730481306E-11</v>
      </c>
      <c r="H975" s="4">
        <f t="shared" si="445"/>
        <v>1.9236609730481306E-11</v>
      </c>
      <c r="I975" s="4">
        <f t="shared" si="445"/>
        <v>1.9236609730481306E-11</v>
      </c>
      <c r="J975" s="4">
        <f t="shared" si="445"/>
        <v>1.9236609730481306E-11</v>
      </c>
      <c r="K975" s="4">
        <f t="shared" si="445"/>
        <v>1.9236609730481306E-11</v>
      </c>
      <c r="L975" s="4">
        <f t="shared" si="445"/>
        <v>1.9236609730481306E-11</v>
      </c>
      <c r="M975" s="4">
        <f t="shared" si="445"/>
        <v>1.9236609730481306E-11</v>
      </c>
      <c r="N975" t="s">
        <v>256</v>
      </c>
      <c r="O975" t="s">
        <v>322</v>
      </c>
      <c r="P975" t="s">
        <v>324</v>
      </c>
      <c r="Q975" t="s">
        <v>245</v>
      </c>
    </row>
    <row r="976" spans="1:17" x14ac:dyDescent="0.25">
      <c r="A976" t="s">
        <v>324</v>
      </c>
      <c r="B976" t="s">
        <v>113</v>
      </c>
      <c r="C976" s="4">
        <f t="shared" ref="C976:M976" si="446">1.80533525994585E-09 * 4.15084364277218%</f>
        <v>7.4936643868186937E-11</v>
      </c>
      <c r="D976" s="4">
        <f t="shared" si="446"/>
        <v>7.4936643868186937E-11</v>
      </c>
      <c r="E976" s="4">
        <f t="shared" si="446"/>
        <v>7.4936643868186937E-11</v>
      </c>
      <c r="F976" s="4">
        <f t="shared" si="446"/>
        <v>7.4936643868186937E-11</v>
      </c>
      <c r="G976" s="4">
        <f t="shared" si="446"/>
        <v>7.4936643868186937E-11</v>
      </c>
      <c r="H976" s="4">
        <f t="shared" si="446"/>
        <v>7.4936643868186937E-11</v>
      </c>
      <c r="I976" s="4">
        <f t="shared" si="446"/>
        <v>7.4936643868186937E-11</v>
      </c>
      <c r="J976" s="4">
        <f t="shared" si="446"/>
        <v>7.4936643868186937E-11</v>
      </c>
      <c r="K976" s="4">
        <f t="shared" si="446"/>
        <v>7.4936643868186937E-11</v>
      </c>
      <c r="L976" s="4">
        <f t="shared" si="446"/>
        <v>7.4936643868186937E-11</v>
      </c>
      <c r="M976" s="4">
        <f t="shared" si="446"/>
        <v>7.4936643868186937E-11</v>
      </c>
      <c r="N976" t="s">
        <v>256</v>
      </c>
      <c r="O976" t="s">
        <v>323</v>
      </c>
      <c r="P976" t="s">
        <v>324</v>
      </c>
      <c r="Q976" t="s">
        <v>245</v>
      </c>
    </row>
    <row r="977" spans="1:17" x14ac:dyDescent="0.25">
      <c r="A977" t="s">
        <v>324</v>
      </c>
      <c r="B977" t="s">
        <v>113</v>
      </c>
      <c r="C977" s="4">
        <f t="shared" ref="C977:M977" si="447">0.000343246436607167 * 4.15084364277218%</f>
        <v>1.4247622892950633E-5</v>
      </c>
      <c r="D977" s="4">
        <f t="shared" si="447"/>
        <v>1.4247622892950633E-5</v>
      </c>
      <c r="E977" s="4">
        <f t="shared" si="447"/>
        <v>1.4247622892950633E-5</v>
      </c>
      <c r="F977" s="4">
        <f t="shared" si="447"/>
        <v>1.4247622892950633E-5</v>
      </c>
      <c r="G977" s="4">
        <f t="shared" si="447"/>
        <v>1.4247622892950633E-5</v>
      </c>
      <c r="H977" s="4">
        <f t="shared" si="447"/>
        <v>1.4247622892950633E-5</v>
      </c>
      <c r="I977" s="4">
        <f t="shared" si="447"/>
        <v>1.4247622892950633E-5</v>
      </c>
      <c r="J977" s="4">
        <f t="shared" si="447"/>
        <v>1.4247622892950633E-5</v>
      </c>
      <c r="K977" s="4">
        <f t="shared" si="447"/>
        <v>1.4247622892950633E-5</v>
      </c>
      <c r="L977" s="4">
        <f t="shared" si="447"/>
        <v>1.4247622892950633E-5</v>
      </c>
      <c r="M977" s="4">
        <f t="shared" si="447"/>
        <v>1.4247622892950633E-5</v>
      </c>
      <c r="N977" t="s">
        <v>256</v>
      </c>
      <c r="O977" t="s">
        <v>280</v>
      </c>
      <c r="P977" t="s">
        <v>324</v>
      </c>
      <c r="Q977" t="s">
        <v>245</v>
      </c>
    </row>
    <row r="978" spans="1:17" x14ac:dyDescent="0.25">
      <c r="A978" t="s">
        <v>324</v>
      </c>
      <c r="B978" t="s">
        <v>122</v>
      </c>
      <c r="C978" s="4">
        <f t="shared" ref="C978:M978" si="448">0.212937718373242 * 0.0995931820560104%</f>
        <v>2.1207144952537757E-4</v>
      </c>
      <c r="D978" s="4">
        <f t="shared" si="448"/>
        <v>2.1207144952537757E-4</v>
      </c>
      <c r="E978" s="4">
        <f t="shared" si="448"/>
        <v>2.1207144952537757E-4</v>
      </c>
      <c r="F978" s="4">
        <f t="shared" si="448"/>
        <v>2.1207144952537757E-4</v>
      </c>
      <c r="G978" s="4">
        <f t="shared" si="448"/>
        <v>2.1207144952537757E-4</v>
      </c>
      <c r="H978" s="4">
        <f t="shared" si="448"/>
        <v>2.1207144952537757E-4</v>
      </c>
      <c r="I978" s="4">
        <f t="shared" si="448"/>
        <v>2.1207144952537757E-4</v>
      </c>
      <c r="J978" s="4">
        <f t="shared" si="448"/>
        <v>2.1207144952537757E-4</v>
      </c>
      <c r="K978" s="4">
        <f t="shared" si="448"/>
        <v>2.1207144952537757E-4</v>
      </c>
      <c r="L978" s="4">
        <f t="shared" si="448"/>
        <v>2.1207144952537757E-4</v>
      </c>
      <c r="M978" s="4">
        <f t="shared" si="448"/>
        <v>2.1207144952537757E-4</v>
      </c>
      <c r="N978" t="s">
        <v>242</v>
      </c>
      <c r="O978" t="s">
        <v>327</v>
      </c>
      <c r="P978" t="s">
        <v>324</v>
      </c>
      <c r="Q978" t="s">
        <v>245</v>
      </c>
    </row>
    <row r="979" spans="1:17" x14ac:dyDescent="0.25">
      <c r="A979" t="s">
        <v>324</v>
      </c>
      <c r="B979" t="s">
        <v>122</v>
      </c>
      <c r="C979" s="4">
        <f t="shared" ref="C979:M979" si="449">0.755584923910716 * 0.0995931820560104%</f>
        <v>7.5251106885816687E-4</v>
      </c>
      <c r="D979" s="4">
        <f t="shared" si="449"/>
        <v>7.5251106885816687E-4</v>
      </c>
      <c r="E979" s="4">
        <f t="shared" si="449"/>
        <v>7.5251106885816687E-4</v>
      </c>
      <c r="F979" s="4">
        <f t="shared" si="449"/>
        <v>7.5251106885816687E-4</v>
      </c>
      <c r="G979" s="4">
        <f t="shared" si="449"/>
        <v>7.5251106885816687E-4</v>
      </c>
      <c r="H979" s="4">
        <f t="shared" si="449"/>
        <v>7.5251106885816687E-4</v>
      </c>
      <c r="I979" s="4">
        <f t="shared" si="449"/>
        <v>7.5251106885816687E-4</v>
      </c>
      <c r="J979" s="4">
        <f t="shared" si="449"/>
        <v>7.5251106885816687E-4</v>
      </c>
      <c r="K979" s="4">
        <f t="shared" si="449"/>
        <v>7.5251106885816687E-4</v>
      </c>
      <c r="L979" s="4">
        <f t="shared" si="449"/>
        <v>7.5251106885816687E-4</v>
      </c>
      <c r="M979" s="4">
        <f t="shared" si="449"/>
        <v>7.5251106885816687E-4</v>
      </c>
      <c r="N979" t="s">
        <v>242</v>
      </c>
      <c r="O979" t="s">
        <v>326</v>
      </c>
      <c r="P979" t="s">
        <v>324</v>
      </c>
      <c r="Q979" t="s">
        <v>245</v>
      </c>
    </row>
    <row r="980" spans="1:17" x14ac:dyDescent="0.25">
      <c r="A980" t="s">
        <v>324</v>
      </c>
      <c r="B980" t="s">
        <v>122</v>
      </c>
      <c r="C980" s="4">
        <f t="shared" ref="C980:M980" si="450">0.00154025450133466 * 0.0995931820560104%</f>
        <v>1.5339884696401227E-6</v>
      </c>
      <c r="D980" s="4">
        <f t="shared" si="450"/>
        <v>1.5339884696401227E-6</v>
      </c>
      <c r="E980" s="4">
        <f t="shared" si="450"/>
        <v>1.5339884696401227E-6</v>
      </c>
      <c r="F980" s="4">
        <f t="shared" si="450"/>
        <v>1.5339884696401227E-6</v>
      </c>
      <c r="G980" s="4">
        <f t="shared" si="450"/>
        <v>1.5339884696401227E-6</v>
      </c>
      <c r="H980" s="4">
        <f t="shared" si="450"/>
        <v>1.5339884696401227E-6</v>
      </c>
      <c r="I980" s="4">
        <f t="shared" si="450"/>
        <v>1.5339884696401227E-6</v>
      </c>
      <c r="J980" s="4">
        <f t="shared" si="450"/>
        <v>1.5339884696401227E-6</v>
      </c>
      <c r="K980" s="4">
        <f t="shared" si="450"/>
        <v>1.5339884696401227E-6</v>
      </c>
      <c r="L980" s="4">
        <f t="shared" si="450"/>
        <v>1.5339884696401227E-6</v>
      </c>
      <c r="M980" s="4">
        <f t="shared" si="450"/>
        <v>1.5339884696401227E-6</v>
      </c>
      <c r="N980" t="s">
        <v>242</v>
      </c>
      <c r="O980" t="s">
        <v>289</v>
      </c>
      <c r="P980" t="s">
        <v>324</v>
      </c>
      <c r="Q980" t="s">
        <v>245</v>
      </c>
    </row>
    <row r="981" spans="1:17" x14ac:dyDescent="0.25">
      <c r="A981" t="s">
        <v>324</v>
      </c>
      <c r="B981" t="s">
        <v>122</v>
      </c>
      <c r="C981" s="4">
        <f t="shared" ref="C981:M981" si="451">4.63438553364394E-10 * 0.0995931820560104%</f>
        <v>4.6155320216994175E-13</v>
      </c>
      <c r="D981" s="4">
        <f t="shared" si="451"/>
        <v>4.6155320216994175E-13</v>
      </c>
      <c r="E981" s="4">
        <f t="shared" si="451"/>
        <v>4.6155320216994175E-13</v>
      </c>
      <c r="F981" s="4">
        <f t="shared" si="451"/>
        <v>4.6155320216994175E-13</v>
      </c>
      <c r="G981" s="4">
        <f t="shared" si="451"/>
        <v>4.6155320216994175E-13</v>
      </c>
      <c r="H981" s="4">
        <f t="shared" si="451"/>
        <v>4.6155320216994175E-13</v>
      </c>
      <c r="I981" s="4">
        <f t="shared" si="451"/>
        <v>4.6155320216994175E-13</v>
      </c>
      <c r="J981" s="4">
        <f t="shared" si="451"/>
        <v>4.6155320216994175E-13</v>
      </c>
      <c r="K981" s="4">
        <f t="shared" si="451"/>
        <v>4.6155320216994175E-13</v>
      </c>
      <c r="L981" s="4">
        <f t="shared" si="451"/>
        <v>4.6155320216994175E-13</v>
      </c>
      <c r="M981" s="4">
        <f t="shared" si="451"/>
        <v>4.6155320216994175E-13</v>
      </c>
      <c r="N981" t="s">
        <v>256</v>
      </c>
      <c r="O981" t="s">
        <v>322</v>
      </c>
      <c r="P981" t="s">
        <v>324</v>
      </c>
      <c r="Q981" t="s">
        <v>245</v>
      </c>
    </row>
    <row r="982" spans="1:17" x14ac:dyDescent="0.25">
      <c r="A982" t="s">
        <v>324</v>
      </c>
      <c r="B982" t="s">
        <v>122</v>
      </c>
      <c r="C982" s="4">
        <f t="shared" ref="C982:M982" si="452">1.80533525994585E-09 * 0.0995931820560104%</f>
        <v>1.7979908321592187E-12</v>
      </c>
      <c r="D982" s="4">
        <f t="shared" si="452"/>
        <v>1.7979908321592187E-12</v>
      </c>
      <c r="E982" s="4">
        <f t="shared" si="452"/>
        <v>1.7979908321592187E-12</v>
      </c>
      <c r="F982" s="4">
        <f t="shared" si="452"/>
        <v>1.7979908321592187E-12</v>
      </c>
      <c r="G982" s="4">
        <f t="shared" si="452"/>
        <v>1.7979908321592187E-12</v>
      </c>
      <c r="H982" s="4">
        <f t="shared" si="452"/>
        <v>1.7979908321592187E-12</v>
      </c>
      <c r="I982" s="4">
        <f t="shared" si="452"/>
        <v>1.7979908321592187E-12</v>
      </c>
      <c r="J982" s="4">
        <f t="shared" si="452"/>
        <v>1.7979908321592187E-12</v>
      </c>
      <c r="K982" s="4">
        <f t="shared" si="452"/>
        <v>1.7979908321592187E-12</v>
      </c>
      <c r="L982" s="4">
        <f t="shared" si="452"/>
        <v>1.7979908321592187E-12</v>
      </c>
      <c r="M982" s="4">
        <f t="shared" si="452"/>
        <v>1.7979908321592187E-12</v>
      </c>
      <c r="N982" t="s">
        <v>256</v>
      </c>
      <c r="O982" t="s">
        <v>323</v>
      </c>
      <c r="P982" t="s">
        <v>324</v>
      </c>
      <c r="Q982" t="s">
        <v>245</v>
      </c>
    </row>
    <row r="983" spans="1:17" x14ac:dyDescent="0.25">
      <c r="A983" t="s">
        <v>324</v>
      </c>
      <c r="B983" t="s">
        <v>122</v>
      </c>
      <c r="C983" s="4">
        <f t="shared" ref="C983:M983" si="453">0.000343246436607167 * 0.0995931820560104%</f>
        <v>3.4185004851094411E-7</v>
      </c>
      <c r="D983" s="4">
        <f t="shared" si="453"/>
        <v>3.4185004851094411E-7</v>
      </c>
      <c r="E983" s="4">
        <f t="shared" si="453"/>
        <v>3.4185004851094411E-7</v>
      </c>
      <c r="F983" s="4">
        <f t="shared" si="453"/>
        <v>3.4185004851094411E-7</v>
      </c>
      <c r="G983" s="4">
        <f t="shared" si="453"/>
        <v>3.4185004851094411E-7</v>
      </c>
      <c r="H983" s="4">
        <f t="shared" si="453"/>
        <v>3.4185004851094411E-7</v>
      </c>
      <c r="I983" s="4">
        <f t="shared" si="453"/>
        <v>3.4185004851094411E-7</v>
      </c>
      <c r="J983" s="4">
        <f t="shared" si="453"/>
        <v>3.4185004851094411E-7</v>
      </c>
      <c r="K983" s="4">
        <f t="shared" si="453"/>
        <v>3.4185004851094411E-7</v>
      </c>
      <c r="L983" s="4">
        <f t="shared" si="453"/>
        <v>3.4185004851094411E-7</v>
      </c>
      <c r="M983" s="4">
        <f t="shared" si="453"/>
        <v>3.4185004851094411E-7</v>
      </c>
      <c r="N983" t="s">
        <v>256</v>
      </c>
      <c r="O983" t="s">
        <v>280</v>
      </c>
      <c r="P983" t="s">
        <v>324</v>
      </c>
      <c r="Q983" t="s">
        <v>245</v>
      </c>
    </row>
    <row r="984" spans="1:17" x14ac:dyDescent="0.25">
      <c r="A984" t="s">
        <v>324</v>
      </c>
      <c r="B984" t="s">
        <v>180</v>
      </c>
      <c r="C984" s="4">
        <f t="shared" ref="C984:M984" si="454">0.212937718373242 * 0.533679896927852%</f>
        <v>1.1364057959348376E-3</v>
      </c>
      <c r="D984" s="4">
        <f t="shared" si="454"/>
        <v>1.1364057959348376E-3</v>
      </c>
      <c r="E984" s="4">
        <f t="shared" si="454"/>
        <v>1.1364057959348376E-3</v>
      </c>
      <c r="F984" s="4">
        <f t="shared" si="454"/>
        <v>1.1364057959348376E-3</v>
      </c>
      <c r="G984" s="4">
        <f t="shared" si="454"/>
        <v>1.1364057959348376E-3</v>
      </c>
      <c r="H984" s="4">
        <f t="shared" si="454"/>
        <v>1.1364057959348376E-3</v>
      </c>
      <c r="I984" s="4">
        <f t="shared" si="454"/>
        <v>1.1364057959348376E-3</v>
      </c>
      <c r="J984" s="4">
        <f t="shared" si="454"/>
        <v>1.1364057959348376E-3</v>
      </c>
      <c r="K984" s="4">
        <f t="shared" si="454"/>
        <v>1.1364057959348376E-3</v>
      </c>
      <c r="L984" s="4">
        <f t="shared" si="454"/>
        <v>1.1364057959348376E-3</v>
      </c>
      <c r="M984" s="4">
        <f t="shared" si="454"/>
        <v>1.1364057959348376E-3</v>
      </c>
      <c r="N984" t="s">
        <v>242</v>
      </c>
      <c r="O984" t="s">
        <v>327</v>
      </c>
      <c r="P984" t="s">
        <v>324</v>
      </c>
      <c r="Q984" t="s">
        <v>245</v>
      </c>
    </row>
    <row r="985" spans="1:17" x14ac:dyDescent="0.25">
      <c r="A985" t="s">
        <v>324</v>
      </c>
      <c r="B985" t="s">
        <v>180</v>
      </c>
      <c r="C985" s="4">
        <f t="shared" ref="C985:M985" si="455">0.755584923910716 * 0.533679896927852%</f>
        <v>4.0324048431290976E-3</v>
      </c>
      <c r="D985" s="4">
        <f t="shared" si="455"/>
        <v>4.0324048431290976E-3</v>
      </c>
      <c r="E985" s="4">
        <f t="shared" si="455"/>
        <v>4.0324048431290976E-3</v>
      </c>
      <c r="F985" s="4">
        <f t="shared" si="455"/>
        <v>4.0324048431290976E-3</v>
      </c>
      <c r="G985" s="4">
        <f t="shared" si="455"/>
        <v>4.0324048431290976E-3</v>
      </c>
      <c r="H985" s="4">
        <f t="shared" si="455"/>
        <v>4.0324048431290976E-3</v>
      </c>
      <c r="I985" s="4">
        <f t="shared" si="455"/>
        <v>4.0324048431290976E-3</v>
      </c>
      <c r="J985" s="4">
        <f t="shared" si="455"/>
        <v>4.0324048431290976E-3</v>
      </c>
      <c r="K985" s="4">
        <f t="shared" si="455"/>
        <v>4.0324048431290976E-3</v>
      </c>
      <c r="L985" s="4">
        <f t="shared" si="455"/>
        <v>4.0324048431290976E-3</v>
      </c>
      <c r="M985" s="4">
        <f t="shared" si="455"/>
        <v>4.0324048431290976E-3</v>
      </c>
      <c r="N985" t="s">
        <v>242</v>
      </c>
      <c r="O985" t="s">
        <v>326</v>
      </c>
      <c r="P985" t="s">
        <v>324</v>
      </c>
      <c r="Q985" t="s">
        <v>245</v>
      </c>
    </row>
    <row r="986" spans="1:17" x14ac:dyDescent="0.25">
      <c r="A986" t="s">
        <v>324</v>
      </c>
      <c r="B986" t="s">
        <v>180</v>
      </c>
      <c r="C986" s="4">
        <f t="shared" ref="C986:M986" si="456">0.00154025450133466 * 0.533679896927852%</f>
        <v>8.2200286351494131E-6</v>
      </c>
      <c r="D986" s="4">
        <f t="shared" si="456"/>
        <v>8.2200286351494131E-6</v>
      </c>
      <c r="E986" s="4">
        <f t="shared" si="456"/>
        <v>8.2200286351494131E-6</v>
      </c>
      <c r="F986" s="4">
        <f t="shared" si="456"/>
        <v>8.2200286351494131E-6</v>
      </c>
      <c r="G986" s="4">
        <f t="shared" si="456"/>
        <v>8.2200286351494131E-6</v>
      </c>
      <c r="H986" s="4">
        <f t="shared" si="456"/>
        <v>8.2200286351494131E-6</v>
      </c>
      <c r="I986" s="4">
        <f t="shared" si="456"/>
        <v>8.2200286351494131E-6</v>
      </c>
      <c r="J986" s="4">
        <f t="shared" si="456"/>
        <v>8.2200286351494131E-6</v>
      </c>
      <c r="K986" s="4">
        <f t="shared" si="456"/>
        <v>8.2200286351494131E-6</v>
      </c>
      <c r="L986" s="4">
        <f t="shared" si="456"/>
        <v>8.2200286351494131E-6</v>
      </c>
      <c r="M986" s="4">
        <f t="shared" si="456"/>
        <v>8.2200286351494131E-6</v>
      </c>
      <c r="N986" t="s">
        <v>242</v>
      </c>
      <c r="O986" t="s">
        <v>289</v>
      </c>
      <c r="P986" t="s">
        <v>324</v>
      </c>
      <c r="Q986" t="s">
        <v>245</v>
      </c>
    </row>
    <row r="987" spans="1:17" x14ac:dyDescent="0.25">
      <c r="A987" t="s">
        <v>324</v>
      </c>
      <c r="B987" t="s">
        <v>180</v>
      </c>
      <c r="C987" s="4">
        <f t="shared" ref="C987:M987" si="457">4.63438553364394E-10 * 0.533679896927852%</f>
        <v>2.4732783939190262E-12</v>
      </c>
      <c r="D987" s="4">
        <f t="shared" si="457"/>
        <v>2.4732783939190262E-12</v>
      </c>
      <c r="E987" s="4">
        <f t="shared" si="457"/>
        <v>2.4732783939190262E-12</v>
      </c>
      <c r="F987" s="4">
        <f t="shared" si="457"/>
        <v>2.4732783939190262E-12</v>
      </c>
      <c r="G987" s="4">
        <f t="shared" si="457"/>
        <v>2.4732783939190262E-12</v>
      </c>
      <c r="H987" s="4">
        <f t="shared" si="457"/>
        <v>2.4732783939190262E-12</v>
      </c>
      <c r="I987" s="4">
        <f t="shared" si="457"/>
        <v>2.4732783939190262E-12</v>
      </c>
      <c r="J987" s="4">
        <f t="shared" si="457"/>
        <v>2.4732783939190262E-12</v>
      </c>
      <c r="K987" s="4">
        <f t="shared" si="457"/>
        <v>2.4732783939190262E-12</v>
      </c>
      <c r="L987" s="4">
        <f t="shared" si="457"/>
        <v>2.4732783939190262E-12</v>
      </c>
      <c r="M987" s="4">
        <f t="shared" si="457"/>
        <v>2.4732783939190262E-12</v>
      </c>
      <c r="N987" t="s">
        <v>256</v>
      </c>
      <c r="O987" t="s">
        <v>322</v>
      </c>
      <c r="P987" t="s">
        <v>324</v>
      </c>
      <c r="Q987" t="s">
        <v>245</v>
      </c>
    </row>
    <row r="988" spans="1:17" x14ac:dyDescent="0.25">
      <c r="A988" t="s">
        <v>324</v>
      </c>
      <c r="B988" t="s">
        <v>180</v>
      </c>
      <c r="C988" s="4">
        <f t="shared" ref="C988:M988" si="458">1.80533525994585E-09 * 0.533679896927852%</f>
        <v>9.6347113544811805E-12</v>
      </c>
      <c r="D988" s="4">
        <f t="shared" si="458"/>
        <v>9.6347113544811805E-12</v>
      </c>
      <c r="E988" s="4">
        <f t="shared" si="458"/>
        <v>9.6347113544811805E-12</v>
      </c>
      <c r="F988" s="4">
        <f t="shared" si="458"/>
        <v>9.6347113544811805E-12</v>
      </c>
      <c r="G988" s="4">
        <f t="shared" si="458"/>
        <v>9.6347113544811805E-12</v>
      </c>
      <c r="H988" s="4">
        <f t="shared" si="458"/>
        <v>9.6347113544811805E-12</v>
      </c>
      <c r="I988" s="4">
        <f t="shared" si="458"/>
        <v>9.6347113544811805E-12</v>
      </c>
      <c r="J988" s="4">
        <f t="shared" si="458"/>
        <v>9.6347113544811805E-12</v>
      </c>
      <c r="K988" s="4">
        <f t="shared" si="458"/>
        <v>9.6347113544811805E-12</v>
      </c>
      <c r="L988" s="4">
        <f t="shared" si="458"/>
        <v>9.6347113544811805E-12</v>
      </c>
      <c r="M988" s="4">
        <f t="shared" si="458"/>
        <v>9.6347113544811805E-12</v>
      </c>
      <c r="N988" t="s">
        <v>256</v>
      </c>
      <c r="O988" t="s">
        <v>323</v>
      </c>
      <c r="P988" t="s">
        <v>324</v>
      </c>
      <c r="Q988" t="s">
        <v>245</v>
      </c>
    </row>
    <row r="989" spans="1:17" x14ac:dyDescent="0.25">
      <c r="A989" t="s">
        <v>324</v>
      </c>
      <c r="B989" t="s">
        <v>180</v>
      </c>
      <c r="C989" s="4">
        <f t="shared" ref="C989:M989" si="459">0.000343246436607167 * 0.533679896927852%</f>
        <v>1.8318372290936535E-6</v>
      </c>
      <c r="D989" s="4">
        <f t="shared" si="459"/>
        <v>1.8318372290936535E-6</v>
      </c>
      <c r="E989" s="4">
        <f t="shared" si="459"/>
        <v>1.8318372290936535E-6</v>
      </c>
      <c r="F989" s="4">
        <f t="shared" si="459"/>
        <v>1.8318372290936535E-6</v>
      </c>
      <c r="G989" s="4">
        <f t="shared" si="459"/>
        <v>1.8318372290936535E-6</v>
      </c>
      <c r="H989" s="4">
        <f t="shared" si="459"/>
        <v>1.8318372290936535E-6</v>
      </c>
      <c r="I989" s="4">
        <f t="shared" si="459"/>
        <v>1.8318372290936535E-6</v>
      </c>
      <c r="J989" s="4">
        <f t="shared" si="459"/>
        <v>1.8318372290936535E-6</v>
      </c>
      <c r="K989" s="4">
        <f t="shared" si="459"/>
        <v>1.8318372290936535E-6</v>
      </c>
      <c r="L989" s="4">
        <f t="shared" si="459"/>
        <v>1.8318372290936535E-6</v>
      </c>
      <c r="M989" s="4">
        <f t="shared" si="459"/>
        <v>1.8318372290936535E-6</v>
      </c>
      <c r="N989" t="s">
        <v>256</v>
      </c>
      <c r="O989" t="s">
        <v>280</v>
      </c>
      <c r="P989" t="s">
        <v>324</v>
      </c>
      <c r="Q989" t="s">
        <v>245</v>
      </c>
    </row>
    <row r="990" spans="1:17" x14ac:dyDescent="0.25">
      <c r="A990" t="s">
        <v>324</v>
      </c>
      <c r="B990" t="s">
        <v>115</v>
      </c>
      <c r="C990" s="4">
        <f t="shared" ref="C990:M990" si="460">0.212937718373242 * 0.069713833162544%</f>
        <v>1.484470457268497E-4</v>
      </c>
      <c r="D990" s="4">
        <f t="shared" si="460"/>
        <v>1.484470457268497E-4</v>
      </c>
      <c r="E990" s="4">
        <f t="shared" si="460"/>
        <v>1.484470457268497E-4</v>
      </c>
      <c r="F990" s="4">
        <f t="shared" si="460"/>
        <v>1.484470457268497E-4</v>
      </c>
      <c r="G990" s="4">
        <f t="shared" si="460"/>
        <v>1.484470457268497E-4</v>
      </c>
      <c r="H990" s="4">
        <f t="shared" si="460"/>
        <v>1.484470457268497E-4</v>
      </c>
      <c r="I990" s="4">
        <f t="shared" si="460"/>
        <v>1.484470457268497E-4</v>
      </c>
      <c r="J990" s="4">
        <f t="shared" si="460"/>
        <v>1.484470457268497E-4</v>
      </c>
      <c r="K990" s="4">
        <f t="shared" si="460"/>
        <v>1.484470457268497E-4</v>
      </c>
      <c r="L990" s="4">
        <f t="shared" si="460"/>
        <v>1.484470457268497E-4</v>
      </c>
      <c r="M990" s="4">
        <f t="shared" si="460"/>
        <v>1.484470457268497E-4</v>
      </c>
      <c r="N990" t="s">
        <v>242</v>
      </c>
      <c r="O990" t="s">
        <v>327</v>
      </c>
      <c r="P990" t="s">
        <v>324</v>
      </c>
      <c r="Q990" t="s">
        <v>245</v>
      </c>
    </row>
    <row r="991" spans="1:17" x14ac:dyDescent="0.25">
      <c r="A991" t="s">
        <v>324</v>
      </c>
      <c r="B991" t="s">
        <v>115</v>
      </c>
      <c r="C991" s="4">
        <f t="shared" ref="C991:M991" si="461">0.755584923910716 * 0.069713833162544%</f>
        <v>5.267472132564515E-4</v>
      </c>
      <c r="D991" s="4">
        <f t="shared" si="461"/>
        <v>5.267472132564515E-4</v>
      </c>
      <c r="E991" s="4">
        <f t="shared" si="461"/>
        <v>5.267472132564515E-4</v>
      </c>
      <c r="F991" s="4">
        <f t="shared" si="461"/>
        <v>5.267472132564515E-4</v>
      </c>
      <c r="G991" s="4">
        <f t="shared" si="461"/>
        <v>5.267472132564515E-4</v>
      </c>
      <c r="H991" s="4">
        <f t="shared" si="461"/>
        <v>5.267472132564515E-4</v>
      </c>
      <c r="I991" s="4">
        <f t="shared" si="461"/>
        <v>5.267472132564515E-4</v>
      </c>
      <c r="J991" s="4">
        <f t="shared" si="461"/>
        <v>5.267472132564515E-4</v>
      </c>
      <c r="K991" s="4">
        <f t="shared" si="461"/>
        <v>5.267472132564515E-4</v>
      </c>
      <c r="L991" s="4">
        <f t="shared" si="461"/>
        <v>5.267472132564515E-4</v>
      </c>
      <c r="M991" s="4">
        <f t="shared" si="461"/>
        <v>5.267472132564515E-4</v>
      </c>
      <c r="N991" t="s">
        <v>242</v>
      </c>
      <c r="O991" t="s">
        <v>326</v>
      </c>
      <c r="P991" t="s">
        <v>324</v>
      </c>
      <c r="Q991" t="s">
        <v>245</v>
      </c>
    </row>
    <row r="992" spans="1:17" x14ac:dyDescent="0.25">
      <c r="A992" t="s">
        <v>324</v>
      </c>
      <c r="B992" t="s">
        <v>115</v>
      </c>
      <c r="C992" s="4">
        <f t="shared" ref="C992:M992" si="462">0.00154025450133466 * 0.069713833162544%</f>
        <v>1.0737704533390189E-6</v>
      </c>
      <c r="D992" s="4">
        <f t="shared" si="462"/>
        <v>1.0737704533390189E-6</v>
      </c>
      <c r="E992" s="4">
        <f t="shared" si="462"/>
        <v>1.0737704533390189E-6</v>
      </c>
      <c r="F992" s="4">
        <f t="shared" si="462"/>
        <v>1.0737704533390189E-6</v>
      </c>
      <c r="G992" s="4">
        <f t="shared" si="462"/>
        <v>1.0737704533390189E-6</v>
      </c>
      <c r="H992" s="4">
        <f t="shared" si="462"/>
        <v>1.0737704533390189E-6</v>
      </c>
      <c r="I992" s="4">
        <f t="shared" si="462"/>
        <v>1.0737704533390189E-6</v>
      </c>
      <c r="J992" s="4">
        <f t="shared" si="462"/>
        <v>1.0737704533390189E-6</v>
      </c>
      <c r="K992" s="4">
        <f t="shared" si="462"/>
        <v>1.0737704533390189E-6</v>
      </c>
      <c r="L992" s="4">
        <f t="shared" si="462"/>
        <v>1.0737704533390189E-6</v>
      </c>
      <c r="M992" s="4">
        <f t="shared" si="462"/>
        <v>1.0737704533390189E-6</v>
      </c>
      <c r="N992" t="s">
        <v>242</v>
      </c>
      <c r="O992" t="s">
        <v>289</v>
      </c>
      <c r="P992" t="s">
        <v>324</v>
      </c>
      <c r="Q992" t="s">
        <v>245</v>
      </c>
    </row>
    <row r="993" spans="1:18" x14ac:dyDescent="0.25">
      <c r="A993" t="s">
        <v>324</v>
      </c>
      <c r="B993" t="s">
        <v>115</v>
      </c>
      <c r="C993" s="4">
        <f t="shared" ref="C993:M993" si="463">4.63438553364394E-10 * 0.069713833162544%</f>
        <v>3.2308077990336104E-13</v>
      </c>
      <c r="D993" s="4">
        <f t="shared" si="463"/>
        <v>3.2308077990336104E-13</v>
      </c>
      <c r="E993" s="4">
        <f t="shared" si="463"/>
        <v>3.2308077990336104E-13</v>
      </c>
      <c r="F993" s="4">
        <f t="shared" si="463"/>
        <v>3.2308077990336104E-13</v>
      </c>
      <c r="G993" s="4">
        <f t="shared" si="463"/>
        <v>3.2308077990336104E-13</v>
      </c>
      <c r="H993" s="4">
        <f t="shared" si="463"/>
        <v>3.2308077990336104E-13</v>
      </c>
      <c r="I993" s="4">
        <f t="shared" si="463"/>
        <v>3.2308077990336104E-13</v>
      </c>
      <c r="J993" s="4">
        <f t="shared" si="463"/>
        <v>3.2308077990336104E-13</v>
      </c>
      <c r="K993" s="4">
        <f t="shared" si="463"/>
        <v>3.2308077990336104E-13</v>
      </c>
      <c r="L993" s="4">
        <f t="shared" si="463"/>
        <v>3.2308077990336104E-13</v>
      </c>
      <c r="M993" s="4">
        <f t="shared" si="463"/>
        <v>3.2308077990336104E-13</v>
      </c>
      <c r="N993" t="s">
        <v>256</v>
      </c>
      <c r="O993" t="s">
        <v>322</v>
      </c>
      <c r="P993" t="s">
        <v>324</v>
      </c>
      <c r="Q993" t="s">
        <v>245</v>
      </c>
    </row>
    <row r="994" spans="1:18" x14ac:dyDescent="0.25">
      <c r="A994" t="s">
        <v>324</v>
      </c>
      <c r="B994" t="s">
        <v>115</v>
      </c>
      <c r="C994" s="4">
        <f t="shared" ref="C994:M994" si="464">1.80533525994585E-09 * 0.069713833162544%</f>
        <v>1.2585684111432298E-12</v>
      </c>
      <c r="D994" s="4">
        <f t="shared" si="464"/>
        <v>1.2585684111432298E-12</v>
      </c>
      <c r="E994" s="4">
        <f t="shared" si="464"/>
        <v>1.2585684111432298E-12</v>
      </c>
      <c r="F994" s="4">
        <f t="shared" si="464"/>
        <v>1.2585684111432298E-12</v>
      </c>
      <c r="G994" s="4">
        <f t="shared" si="464"/>
        <v>1.2585684111432298E-12</v>
      </c>
      <c r="H994" s="4">
        <f t="shared" si="464"/>
        <v>1.2585684111432298E-12</v>
      </c>
      <c r="I994" s="4">
        <f t="shared" si="464"/>
        <v>1.2585684111432298E-12</v>
      </c>
      <c r="J994" s="4">
        <f t="shared" si="464"/>
        <v>1.2585684111432298E-12</v>
      </c>
      <c r="K994" s="4">
        <f t="shared" si="464"/>
        <v>1.2585684111432298E-12</v>
      </c>
      <c r="L994" s="4">
        <f t="shared" si="464"/>
        <v>1.2585684111432298E-12</v>
      </c>
      <c r="M994" s="4">
        <f t="shared" si="464"/>
        <v>1.2585684111432298E-12</v>
      </c>
      <c r="N994" t="s">
        <v>256</v>
      </c>
      <c r="O994" t="s">
        <v>323</v>
      </c>
      <c r="P994" t="s">
        <v>324</v>
      </c>
      <c r="Q994" t="s">
        <v>245</v>
      </c>
    </row>
    <row r="995" spans="1:18" x14ac:dyDescent="0.25">
      <c r="A995" t="s">
        <v>324</v>
      </c>
      <c r="B995" t="s">
        <v>115</v>
      </c>
      <c r="C995" s="4">
        <f t="shared" ref="C995:M995" si="465">0.000343246436607167 * 0.069713833162544%</f>
        <v>2.3929024815269772E-7</v>
      </c>
      <c r="D995" s="4">
        <f t="shared" si="465"/>
        <v>2.3929024815269772E-7</v>
      </c>
      <c r="E995" s="4">
        <f t="shared" si="465"/>
        <v>2.3929024815269772E-7</v>
      </c>
      <c r="F995" s="4">
        <f t="shared" si="465"/>
        <v>2.3929024815269772E-7</v>
      </c>
      <c r="G995" s="4">
        <f t="shared" si="465"/>
        <v>2.3929024815269772E-7</v>
      </c>
      <c r="H995" s="4">
        <f t="shared" si="465"/>
        <v>2.3929024815269772E-7</v>
      </c>
      <c r="I995" s="4">
        <f t="shared" si="465"/>
        <v>2.3929024815269772E-7</v>
      </c>
      <c r="J995" s="4">
        <f t="shared" si="465"/>
        <v>2.3929024815269772E-7</v>
      </c>
      <c r="K995" s="4">
        <f t="shared" si="465"/>
        <v>2.3929024815269772E-7</v>
      </c>
      <c r="L995" s="4">
        <f t="shared" si="465"/>
        <v>2.3929024815269772E-7</v>
      </c>
      <c r="M995" s="4">
        <f t="shared" si="465"/>
        <v>2.3929024815269772E-7</v>
      </c>
      <c r="N995" t="s">
        <v>256</v>
      </c>
      <c r="O995" t="s">
        <v>280</v>
      </c>
      <c r="P995" t="s">
        <v>324</v>
      </c>
      <c r="Q995" t="s">
        <v>245</v>
      </c>
    </row>
    <row r="996" spans="1:18" x14ac:dyDescent="0.25">
      <c r="A996" t="s">
        <v>324</v>
      </c>
      <c r="B996" t="s">
        <v>143</v>
      </c>
      <c r="C996" s="4">
        <f t="shared" ref="C996:M996" si="466">0.212937718373242 * 1.57249802732407%</f>
        <v>3.3484414208481143E-3</v>
      </c>
      <c r="D996" s="4">
        <f t="shared" si="466"/>
        <v>3.3484414208481143E-3</v>
      </c>
      <c r="E996" s="4">
        <f t="shared" si="466"/>
        <v>3.3484414208481143E-3</v>
      </c>
      <c r="F996" s="4">
        <f t="shared" si="466"/>
        <v>3.3484414208481143E-3</v>
      </c>
      <c r="G996" s="4">
        <f t="shared" si="466"/>
        <v>3.3484414208481143E-3</v>
      </c>
      <c r="H996" s="4">
        <f t="shared" si="466"/>
        <v>3.3484414208481143E-3</v>
      </c>
      <c r="I996" s="4">
        <f t="shared" si="466"/>
        <v>3.3484414208481143E-3</v>
      </c>
      <c r="J996" s="4">
        <f t="shared" si="466"/>
        <v>3.3484414208481143E-3</v>
      </c>
      <c r="K996" s="4">
        <f t="shared" si="466"/>
        <v>3.3484414208481143E-3</v>
      </c>
      <c r="L996" s="4">
        <f t="shared" si="466"/>
        <v>3.3484414208481143E-3</v>
      </c>
      <c r="M996" s="4">
        <f t="shared" si="466"/>
        <v>3.3484414208481143E-3</v>
      </c>
      <c r="N996" t="s">
        <v>242</v>
      </c>
      <c r="O996" t="s">
        <v>327</v>
      </c>
      <c r="P996" t="s">
        <v>324</v>
      </c>
      <c r="Q996" t="s">
        <v>245</v>
      </c>
    </row>
    <row r="997" spans="1:18" x14ac:dyDescent="0.25">
      <c r="A997" t="s">
        <v>324</v>
      </c>
      <c r="B997" t="s">
        <v>143</v>
      </c>
      <c r="C997" s="4">
        <f t="shared" ref="C997:M997" si="467">0.755584923910716 * 1.57249802732407%</f>
        <v>1.1881558023254085E-2</v>
      </c>
      <c r="D997" s="4">
        <f t="shared" si="467"/>
        <v>1.1881558023254085E-2</v>
      </c>
      <c r="E997" s="4">
        <f t="shared" si="467"/>
        <v>1.1881558023254085E-2</v>
      </c>
      <c r="F997" s="4">
        <f t="shared" si="467"/>
        <v>1.1881558023254085E-2</v>
      </c>
      <c r="G997" s="4">
        <f t="shared" si="467"/>
        <v>1.1881558023254085E-2</v>
      </c>
      <c r="H997" s="4">
        <f t="shared" si="467"/>
        <v>1.1881558023254085E-2</v>
      </c>
      <c r="I997" s="4">
        <f t="shared" si="467"/>
        <v>1.1881558023254085E-2</v>
      </c>
      <c r="J997" s="4">
        <f t="shared" si="467"/>
        <v>1.1881558023254085E-2</v>
      </c>
      <c r="K997" s="4">
        <f t="shared" si="467"/>
        <v>1.1881558023254085E-2</v>
      </c>
      <c r="L997" s="4">
        <f t="shared" si="467"/>
        <v>1.1881558023254085E-2</v>
      </c>
      <c r="M997" s="4">
        <f t="shared" si="467"/>
        <v>1.1881558023254085E-2</v>
      </c>
      <c r="N997" t="s">
        <v>242</v>
      </c>
      <c r="O997" t="s">
        <v>326</v>
      </c>
      <c r="P997" t="s">
        <v>324</v>
      </c>
      <c r="Q997" t="s">
        <v>245</v>
      </c>
    </row>
    <row r="998" spans="1:18" x14ac:dyDescent="0.25">
      <c r="A998" t="s">
        <v>324</v>
      </c>
      <c r="B998" t="s">
        <v>143</v>
      </c>
      <c r="C998" s="4">
        <f t="shared" ref="C998:M998" si="468">0.00154025450133466 * 1.57249802732407%</f>
        <v>2.422047164925772E-5</v>
      </c>
      <c r="D998" s="4">
        <f t="shared" si="468"/>
        <v>2.422047164925772E-5</v>
      </c>
      <c r="E998" s="4">
        <f t="shared" si="468"/>
        <v>2.422047164925772E-5</v>
      </c>
      <c r="F998" s="4">
        <f t="shared" si="468"/>
        <v>2.422047164925772E-5</v>
      </c>
      <c r="G998" s="4">
        <f t="shared" si="468"/>
        <v>2.422047164925772E-5</v>
      </c>
      <c r="H998" s="4">
        <f t="shared" si="468"/>
        <v>2.422047164925772E-5</v>
      </c>
      <c r="I998" s="4">
        <f t="shared" si="468"/>
        <v>2.422047164925772E-5</v>
      </c>
      <c r="J998" s="4">
        <f t="shared" si="468"/>
        <v>2.422047164925772E-5</v>
      </c>
      <c r="K998" s="4">
        <f t="shared" si="468"/>
        <v>2.422047164925772E-5</v>
      </c>
      <c r="L998" s="4">
        <f t="shared" si="468"/>
        <v>2.422047164925772E-5</v>
      </c>
      <c r="M998" s="4">
        <f t="shared" si="468"/>
        <v>2.422047164925772E-5</v>
      </c>
      <c r="N998" t="s">
        <v>242</v>
      </c>
      <c r="O998" t="s">
        <v>289</v>
      </c>
      <c r="P998" t="s">
        <v>324</v>
      </c>
      <c r="Q998" t="s">
        <v>245</v>
      </c>
    </row>
    <row r="999" spans="1:18" x14ac:dyDescent="0.25">
      <c r="A999" t="s">
        <v>324</v>
      </c>
      <c r="B999" t="s">
        <v>143</v>
      </c>
      <c r="C999" s="4">
        <f t="shared" ref="C999:M999" si="469">4.63438553364394E-10 * 1.57249802732407%</f>
        <v>7.2875621095143038E-12</v>
      </c>
      <c r="D999" s="4">
        <f t="shared" si="469"/>
        <v>7.2875621095143038E-12</v>
      </c>
      <c r="E999" s="4">
        <f t="shared" si="469"/>
        <v>7.2875621095143038E-12</v>
      </c>
      <c r="F999" s="4">
        <f t="shared" si="469"/>
        <v>7.2875621095143038E-12</v>
      </c>
      <c r="G999" s="4">
        <f t="shared" si="469"/>
        <v>7.2875621095143038E-12</v>
      </c>
      <c r="H999" s="4">
        <f t="shared" si="469"/>
        <v>7.2875621095143038E-12</v>
      </c>
      <c r="I999" s="4">
        <f t="shared" si="469"/>
        <v>7.2875621095143038E-12</v>
      </c>
      <c r="J999" s="4">
        <f t="shared" si="469"/>
        <v>7.2875621095143038E-12</v>
      </c>
      <c r="K999" s="4">
        <f t="shared" si="469"/>
        <v>7.2875621095143038E-12</v>
      </c>
      <c r="L999" s="4">
        <f t="shared" si="469"/>
        <v>7.2875621095143038E-12</v>
      </c>
      <c r="M999" s="4">
        <f t="shared" si="469"/>
        <v>7.2875621095143038E-12</v>
      </c>
      <c r="N999" t="s">
        <v>256</v>
      </c>
      <c r="O999" t="s">
        <v>322</v>
      </c>
      <c r="P999" t="s">
        <v>324</v>
      </c>
      <c r="Q999" t="s">
        <v>245</v>
      </c>
    </row>
    <row r="1000" spans="1:18" x14ac:dyDescent="0.25">
      <c r="A1000" t="s">
        <v>324</v>
      </c>
      <c r="B1000" t="s">
        <v>143</v>
      </c>
      <c r="C1000" s="4">
        <f t="shared" ref="C1000:M1000" si="470">1.80533525994585E-09 * 1.57249802732407%</f>
        <v>2.8388861349234362E-11</v>
      </c>
      <c r="D1000" s="4">
        <f t="shared" si="470"/>
        <v>2.8388861349234362E-11</v>
      </c>
      <c r="E1000" s="4">
        <f t="shared" si="470"/>
        <v>2.8388861349234362E-11</v>
      </c>
      <c r="F1000" s="4">
        <f t="shared" si="470"/>
        <v>2.8388861349234362E-11</v>
      </c>
      <c r="G1000" s="4">
        <f t="shared" si="470"/>
        <v>2.8388861349234362E-11</v>
      </c>
      <c r="H1000" s="4">
        <f t="shared" si="470"/>
        <v>2.8388861349234362E-11</v>
      </c>
      <c r="I1000" s="4">
        <f t="shared" si="470"/>
        <v>2.8388861349234362E-11</v>
      </c>
      <c r="J1000" s="4">
        <f t="shared" si="470"/>
        <v>2.8388861349234362E-11</v>
      </c>
      <c r="K1000" s="4">
        <f t="shared" si="470"/>
        <v>2.8388861349234362E-11</v>
      </c>
      <c r="L1000" s="4">
        <f t="shared" si="470"/>
        <v>2.8388861349234362E-11</v>
      </c>
      <c r="M1000" s="4">
        <f t="shared" si="470"/>
        <v>2.8388861349234362E-11</v>
      </c>
      <c r="N1000" t="s">
        <v>256</v>
      </c>
      <c r="O1000" t="s">
        <v>323</v>
      </c>
      <c r="P1000" t="s">
        <v>324</v>
      </c>
      <c r="Q1000" t="s">
        <v>245</v>
      </c>
    </row>
    <row r="1001" spans="1:18" x14ac:dyDescent="0.25">
      <c r="A1001" t="s">
        <v>324</v>
      </c>
      <c r="B1001" t="s">
        <v>143</v>
      </c>
      <c r="C1001" s="4">
        <f t="shared" ref="C1001:M1001" si="471">0.000343246436607167 * 1.57249802732407%</f>
        <v>5.3975434445078657E-6</v>
      </c>
      <c r="D1001" s="4">
        <f t="shared" si="471"/>
        <v>5.3975434445078657E-6</v>
      </c>
      <c r="E1001" s="4">
        <f t="shared" si="471"/>
        <v>5.3975434445078657E-6</v>
      </c>
      <c r="F1001" s="4">
        <f t="shared" si="471"/>
        <v>5.3975434445078657E-6</v>
      </c>
      <c r="G1001" s="4">
        <f t="shared" si="471"/>
        <v>5.3975434445078657E-6</v>
      </c>
      <c r="H1001" s="4">
        <f t="shared" si="471"/>
        <v>5.3975434445078657E-6</v>
      </c>
      <c r="I1001" s="4">
        <f t="shared" si="471"/>
        <v>5.3975434445078657E-6</v>
      </c>
      <c r="J1001" s="4">
        <f t="shared" si="471"/>
        <v>5.3975434445078657E-6</v>
      </c>
      <c r="K1001" s="4">
        <f t="shared" si="471"/>
        <v>5.3975434445078657E-6</v>
      </c>
      <c r="L1001" s="4">
        <f t="shared" si="471"/>
        <v>5.3975434445078657E-6</v>
      </c>
      <c r="M1001" s="4">
        <f t="shared" si="471"/>
        <v>5.3975434445078657E-6</v>
      </c>
      <c r="N1001" t="s">
        <v>256</v>
      </c>
      <c r="O1001" t="s">
        <v>280</v>
      </c>
      <c r="P1001" t="s">
        <v>324</v>
      </c>
      <c r="Q1001" t="s">
        <v>245</v>
      </c>
    </row>
    <row r="1002" spans="1:18" x14ac:dyDescent="0.25">
      <c r="A1002" t="s">
        <v>324</v>
      </c>
      <c r="B1002" t="s">
        <v>158</v>
      </c>
      <c r="C1002" s="4">
        <f t="shared" ref="C1002:M1002" si="472">0.212937718373242 * 0.0000820162743088753%</f>
        <v>1.7464358320805851E-7</v>
      </c>
      <c r="D1002" s="4">
        <f t="shared" si="472"/>
        <v>1.7464358320805851E-7</v>
      </c>
      <c r="E1002" s="4">
        <f t="shared" si="472"/>
        <v>1.7464358320805851E-7</v>
      </c>
      <c r="F1002" s="4">
        <f t="shared" si="472"/>
        <v>1.7464358320805851E-7</v>
      </c>
      <c r="G1002" s="4">
        <f t="shared" si="472"/>
        <v>1.7464358320805851E-7</v>
      </c>
      <c r="H1002" s="4">
        <f t="shared" si="472"/>
        <v>1.7464358320805851E-7</v>
      </c>
      <c r="I1002" s="4">
        <f t="shared" si="472"/>
        <v>1.7464358320805851E-7</v>
      </c>
      <c r="J1002" s="4">
        <f t="shared" si="472"/>
        <v>1.7464358320805851E-7</v>
      </c>
      <c r="K1002" s="4">
        <f t="shared" si="472"/>
        <v>1.7464358320805851E-7</v>
      </c>
      <c r="L1002" s="4">
        <f t="shared" si="472"/>
        <v>1.7464358320805851E-7</v>
      </c>
      <c r="M1002" s="4">
        <f t="shared" si="472"/>
        <v>1.7464358320805851E-7</v>
      </c>
      <c r="N1002" t="s">
        <v>242</v>
      </c>
      <c r="O1002" t="s">
        <v>327</v>
      </c>
      <c r="P1002" t="s">
        <v>324</v>
      </c>
      <c r="Q1002" t="s">
        <v>245</v>
      </c>
    </row>
    <row r="1003" spans="1:18" x14ac:dyDescent="0.25">
      <c r="A1003" t="s">
        <v>324</v>
      </c>
      <c r="B1003" t="s">
        <v>158</v>
      </c>
      <c r="C1003" s="4">
        <f t="shared" ref="C1003:M1003" si="473">0.755584923910716 * 0.0000820162743088753%</f>
        <v>6.1970260383111952E-7</v>
      </c>
      <c r="D1003" s="4">
        <f t="shared" si="473"/>
        <v>6.1970260383111952E-7</v>
      </c>
      <c r="E1003" s="4">
        <f t="shared" si="473"/>
        <v>6.1970260383111952E-7</v>
      </c>
      <c r="F1003" s="4">
        <f t="shared" si="473"/>
        <v>6.1970260383111952E-7</v>
      </c>
      <c r="G1003" s="4">
        <f t="shared" si="473"/>
        <v>6.1970260383111952E-7</v>
      </c>
      <c r="H1003" s="4">
        <f t="shared" si="473"/>
        <v>6.1970260383111952E-7</v>
      </c>
      <c r="I1003" s="4">
        <f t="shared" si="473"/>
        <v>6.1970260383111952E-7</v>
      </c>
      <c r="J1003" s="4">
        <f t="shared" si="473"/>
        <v>6.1970260383111952E-7</v>
      </c>
      <c r="K1003" s="4">
        <f t="shared" si="473"/>
        <v>6.1970260383111952E-7</v>
      </c>
      <c r="L1003" s="4">
        <f t="shared" si="473"/>
        <v>6.1970260383111952E-7</v>
      </c>
      <c r="M1003" s="4">
        <f t="shared" si="473"/>
        <v>6.1970260383111952E-7</v>
      </c>
      <c r="N1003" t="s">
        <v>242</v>
      </c>
      <c r="O1003" t="s">
        <v>326</v>
      </c>
      <c r="P1003" t="s">
        <v>324</v>
      </c>
      <c r="Q1003" t="s">
        <v>245</v>
      </c>
    </row>
    <row r="1004" spans="1:18" x14ac:dyDescent="0.25">
      <c r="A1004" t="s">
        <v>324</v>
      </c>
      <c r="B1004" t="s">
        <v>158</v>
      </c>
      <c r="C1004" s="4">
        <f t="shared" ref="C1004:M1004" si="474">0.00154025450133466 * 0.0000820162743088753%</f>
        <v>1.2632593568694341E-9</v>
      </c>
      <c r="D1004" s="4">
        <f t="shared" si="474"/>
        <v>1.2632593568694341E-9</v>
      </c>
      <c r="E1004" s="4">
        <f t="shared" si="474"/>
        <v>1.2632593568694341E-9</v>
      </c>
      <c r="F1004" s="4">
        <f t="shared" si="474"/>
        <v>1.2632593568694341E-9</v>
      </c>
      <c r="G1004" s="4">
        <f t="shared" si="474"/>
        <v>1.2632593568694341E-9</v>
      </c>
      <c r="H1004" s="4">
        <f t="shared" si="474"/>
        <v>1.2632593568694341E-9</v>
      </c>
      <c r="I1004" s="4">
        <f t="shared" si="474"/>
        <v>1.2632593568694341E-9</v>
      </c>
      <c r="J1004" s="4">
        <f t="shared" si="474"/>
        <v>1.2632593568694341E-9</v>
      </c>
      <c r="K1004" s="4">
        <f t="shared" si="474"/>
        <v>1.2632593568694341E-9</v>
      </c>
      <c r="L1004" s="4">
        <f t="shared" si="474"/>
        <v>1.2632593568694341E-9</v>
      </c>
      <c r="M1004" s="4">
        <f t="shared" si="474"/>
        <v>1.2632593568694341E-9</v>
      </c>
      <c r="N1004" t="s">
        <v>242</v>
      </c>
      <c r="O1004" t="s">
        <v>289</v>
      </c>
      <c r="P1004" t="s">
        <v>324</v>
      </c>
      <c r="Q1004" t="s">
        <v>245</v>
      </c>
    </row>
    <row r="1005" spans="1:18" x14ac:dyDescent="0.25">
      <c r="A1005" t="s">
        <v>324</v>
      </c>
      <c r="B1005" t="s">
        <v>158</v>
      </c>
      <c r="C1005" s="4">
        <f t="shared" ref="C1005:M1005" si="475">4.63438553364394E-10 * 0.0000820162743088753%</f>
        <v>3.8009503518042482E-16</v>
      </c>
      <c r="D1005" s="4">
        <f t="shared" si="475"/>
        <v>3.8009503518042482E-16</v>
      </c>
      <c r="E1005" s="4">
        <f t="shared" si="475"/>
        <v>3.8009503518042482E-16</v>
      </c>
      <c r="F1005" s="4">
        <f t="shared" si="475"/>
        <v>3.8009503518042482E-16</v>
      </c>
      <c r="G1005" s="4">
        <f t="shared" si="475"/>
        <v>3.8009503518042482E-16</v>
      </c>
      <c r="H1005" s="4">
        <f t="shared" si="475"/>
        <v>3.8009503518042482E-16</v>
      </c>
      <c r="I1005" s="4">
        <f t="shared" si="475"/>
        <v>3.8009503518042482E-16</v>
      </c>
      <c r="J1005" s="4">
        <f t="shared" si="475"/>
        <v>3.8009503518042482E-16</v>
      </c>
      <c r="K1005" s="4">
        <f t="shared" si="475"/>
        <v>3.8009503518042482E-16</v>
      </c>
      <c r="L1005" s="4">
        <f t="shared" si="475"/>
        <v>3.8009503518042482E-16</v>
      </c>
      <c r="M1005" s="4">
        <f t="shared" si="475"/>
        <v>3.8009503518042482E-16</v>
      </c>
      <c r="N1005" t="s">
        <v>256</v>
      </c>
      <c r="O1005" t="s">
        <v>322</v>
      </c>
      <c r="P1005" t="s">
        <v>324</v>
      </c>
      <c r="Q1005" t="s">
        <v>245</v>
      </c>
    </row>
    <row r="1006" spans="1:18" x14ac:dyDescent="0.25">
      <c r="A1006" t="s">
        <v>324</v>
      </c>
      <c r="B1006" t="s">
        <v>158</v>
      </c>
      <c r="C1006" s="4">
        <f t="shared" ref="C1006:M1006" si="476">1.80533525994585E-09 * 0.0000820162743088753%</f>
        <v>1.4806687189920352E-15</v>
      </c>
      <c r="D1006" s="4">
        <f t="shared" si="476"/>
        <v>1.4806687189920352E-15</v>
      </c>
      <c r="E1006" s="4">
        <f t="shared" si="476"/>
        <v>1.4806687189920352E-15</v>
      </c>
      <c r="F1006" s="4">
        <f t="shared" si="476"/>
        <v>1.4806687189920352E-15</v>
      </c>
      <c r="G1006" s="4">
        <f t="shared" si="476"/>
        <v>1.4806687189920352E-15</v>
      </c>
      <c r="H1006" s="4">
        <f t="shared" si="476"/>
        <v>1.4806687189920352E-15</v>
      </c>
      <c r="I1006" s="4">
        <f t="shared" si="476"/>
        <v>1.4806687189920352E-15</v>
      </c>
      <c r="J1006" s="4">
        <f t="shared" si="476"/>
        <v>1.4806687189920352E-15</v>
      </c>
      <c r="K1006" s="4">
        <f t="shared" si="476"/>
        <v>1.4806687189920352E-15</v>
      </c>
      <c r="L1006" s="4">
        <f t="shared" si="476"/>
        <v>1.4806687189920352E-15</v>
      </c>
      <c r="M1006" s="4">
        <f t="shared" si="476"/>
        <v>1.4806687189920352E-15</v>
      </c>
      <c r="N1006" t="s">
        <v>256</v>
      </c>
      <c r="O1006" t="s">
        <v>323</v>
      </c>
      <c r="P1006" t="s">
        <v>324</v>
      </c>
      <c r="Q1006" t="s">
        <v>245</v>
      </c>
    </row>
    <row r="1007" spans="1:18" x14ac:dyDescent="0.25">
      <c r="A1007" t="s">
        <v>324</v>
      </c>
      <c r="B1007" t="s">
        <v>158</v>
      </c>
      <c r="C1007" s="4">
        <f t="shared" ref="C1007:M1007" si="477">0.000343246436607167 * 0.0000820162743088753%</f>
        <v>2.8151793900317385E-10</v>
      </c>
      <c r="D1007" s="4">
        <f t="shared" si="477"/>
        <v>2.8151793900317385E-10</v>
      </c>
      <c r="E1007" s="4">
        <f t="shared" si="477"/>
        <v>2.8151793900317385E-10</v>
      </c>
      <c r="F1007" s="4">
        <f t="shared" si="477"/>
        <v>2.8151793900317385E-10</v>
      </c>
      <c r="G1007" s="4">
        <f t="shared" si="477"/>
        <v>2.8151793900317385E-10</v>
      </c>
      <c r="H1007" s="4">
        <f t="shared" si="477"/>
        <v>2.8151793900317385E-10</v>
      </c>
      <c r="I1007" s="4">
        <f t="shared" si="477"/>
        <v>2.8151793900317385E-10</v>
      </c>
      <c r="J1007" s="4">
        <f t="shared" si="477"/>
        <v>2.8151793900317385E-10</v>
      </c>
      <c r="K1007" s="4">
        <f t="shared" si="477"/>
        <v>2.8151793900317385E-10</v>
      </c>
      <c r="L1007" s="4">
        <f t="shared" si="477"/>
        <v>2.8151793900317385E-10</v>
      </c>
      <c r="M1007" s="4">
        <f t="shared" si="477"/>
        <v>2.8151793900317385E-10</v>
      </c>
      <c r="N1007" t="s">
        <v>256</v>
      </c>
      <c r="O1007" t="s">
        <v>280</v>
      </c>
      <c r="P1007" t="s">
        <v>324</v>
      </c>
      <c r="Q1007" t="s">
        <v>245</v>
      </c>
    </row>
    <row r="1008" spans="1:18" x14ac:dyDescent="0.25">
      <c r="A1008" t="s">
        <v>304</v>
      </c>
      <c r="B1008" t="s">
        <v>86</v>
      </c>
      <c r="C1008" s="4">
        <v>0.93832366895097519</v>
      </c>
      <c r="D1008" s="4">
        <v>0.93832366895097519</v>
      </c>
      <c r="E1008" s="4">
        <v>0.93832366895097519</v>
      </c>
      <c r="F1008" s="4">
        <v>0.93832366895097519</v>
      </c>
      <c r="G1008" s="4">
        <v>0.93832366895097519</v>
      </c>
      <c r="H1008" s="4">
        <v>0.93832366895097519</v>
      </c>
      <c r="I1008" s="4">
        <v>0.93832366895097519</v>
      </c>
      <c r="J1008" s="4">
        <v>0.93832366895097519</v>
      </c>
      <c r="K1008" s="4">
        <v>0.93832366895097519</v>
      </c>
      <c r="L1008" s="4">
        <v>0.93832366895097519</v>
      </c>
      <c r="M1008" s="4">
        <v>0.93832366895097519</v>
      </c>
      <c r="N1008" t="s">
        <v>242</v>
      </c>
      <c r="O1008" t="s">
        <v>302</v>
      </c>
      <c r="P1008" t="s">
        <v>304</v>
      </c>
      <c r="Q1008" t="s">
        <v>245</v>
      </c>
      <c r="R1008" t="s">
        <v>303</v>
      </c>
    </row>
    <row r="1009" spans="1:18" x14ac:dyDescent="0.25">
      <c r="A1009" t="s">
        <v>304</v>
      </c>
      <c r="B1009" t="s">
        <v>119</v>
      </c>
      <c r="C1009" s="4">
        <v>7.9072219293621505E-3</v>
      </c>
      <c r="D1009" s="4">
        <v>7.9072219293621505E-3</v>
      </c>
      <c r="E1009" s="4">
        <v>7.9072219293621505E-3</v>
      </c>
      <c r="F1009" s="4">
        <v>7.9072219293621505E-3</v>
      </c>
      <c r="G1009" s="4">
        <v>7.9072219293621505E-3</v>
      </c>
      <c r="H1009" s="4">
        <v>7.9072219293621505E-3</v>
      </c>
      <c r="I1009" s="4">
        <v>7.9072219293621505E-3</v>
      </c>
      <c r="J1009" s="4">
        <v>7.9072219293621505E-3</v>
      </c>
      <c r="K1009" s="4">
        <v>7.9072219293621505E-3</v>
      </c>
      <c r="L1009" s="4">
        <v>7.9072219293621505E-3</v>
      </c>
      <c r="M1009" s="4">
        <v>7.9072219293621505E-3</v>
      </c>
      <c r="N1009" t="s">
        <v>242</v>
      </c>
      <c r="O1009" t="s">
        <v>302</v>
      </c>
      <c r="P1009" t="s">
        <v>304</v>
      </c>
      <c r="Q1009" t="s">
        <v>245</v>
      </c>
      <c r="R1009" t="s">
        <v>563</v>
      </c>
    </row>
    <row r="1010" spans="1:18" x14ac:dyDescent="0.25">
      <c r="A1010" t="s">
        <v>304</v>
      </c>
      <c r="B1010" t="s">
        <v>148</v>
      </c>
      <c r="C1010" s="4">
        <v>6.8529256721138639E-3</v>
      </c>
      <c r="D1010" s="4">
        <v>6.8529256721138639E-3</v>
      </c>
      <c r="E1010" s="4">
        <v>6.8529256721138639E-3</v>
      </c>
      <c r="F1010" s="4">
        <v>6.8529256721138639E-3</v>
      </c>
      <c r="G1010" s="4">
        <v>6.8529256721138639E-3</v>
      </c>
      <c r="H1010" s="4">
        <v>6.8529256721138639E-3</v>
      </c>
      <c r="I1010" s="4">
        <v>6.8529256721138639E-3</v>
      </c>
      <c r="J1010" s="4">
        <v>6.8529256721138639E-3</v>
      </c>
      <c r="K1010" s="4">
        <v>6.8529256721138639E-3</v>
      </c>
      <c r="L1010" s="4">
        <v>6.8529256721138639E-3</v>
      </c>
      <c r="M1010" s="4">
        <v>6.8529256721138639E-3</v>
      </c>
      <c r="N1010" t="s">
        <v>242</v>
      </c>
      <c r="O1010" t="s">
        <v>302</v>
      </c>
      <c r="P1010" t="s">
        <v>304</v>
      </c>
      <c r="Q1010" t="s">
        <v>245</v>
      </c>
    </row>
    <row r="1011" spans="1:18" x14ac:dyDescent="0.25">
      <c r="A1011" t="s">
        <v>304</v>
      </c>
      <c r="B1011" t="s">
        <v>107</v>
      </c>
      <c r="C1011" s="4">
        <v>3.4264628360569323E-2</v>
      </c>
      <c r="D1011" s="4">
        <v>3.4264628360569323E-2</v>
      </c>
      <c r="E1011" s="4">
        <v>3.4264628360569323E-2</v>
      </c>
      <c r="F1011" s="4">
        <v>3.4264628360569323E-2</v>
      </c>
      <c r="G1011" s="4">
        <v>3.4264628360569323E-2</v>
      </c>
      <c r="H1011" s="4">
        <v>3.4264628360569323E-2</v>
      </c>
      <c r="I1011" s="4">
        <v>3.4264628360569323E-2</v>
      </c>
      <c r="J1011" s="4">
        <v>3.4264628360569323E-2</v>
      </c>
      <c r="K1011" s="4">
        <v>3.4264628360569323E-2</v>
      </c>
      <c r="L1011" s="4">
        <v>3.4264628360569323E-2</v>
      </c>
      <c r="M1011" s="4">
        <v>3.4264628360569323E-2</v>
      </c>
      <c r="N1011" t="s">
        <v>242</v>
      </c>
      <c r="O1011" t="s">
        <v>302</v>
      </c>
      <c r="P1011" t="s">
        <v>304</v>
      </c>
      <c r="Q1011" t="s">
        <v>245</v>
      </c>
    </row>
    <row r="1012" spans="1:18" x14ac:dyDescent="0.25">
      <c r="A1012" t="s">
        <v>304</v>
      </c>
      <c r="B1012" t="s">
        <v>122</v>
      </c>
      <c r="C1012" s="4">
        <v>1.2651555086979439E-2</v>
      </c>
      <c r="D1012" s="4">
        <v>1.2651555086979439E-2</v>
      </c>
      <c r="E1012" s="4">
        <v>1.2651555086979439E-2</v>
      </c>
      <c r="F1012" s="4">
        <v>1.2651555086979439E-2</v>
      </c>
      <c r="G1012" s="4">
        <v>1.2651555086979439E-2</v>
      </c>
      <c r="H1012" s="4">
        <v>1.2651555086979439E-2</v>
      </c>
      <c r="I1012" s="4">
        <v>1.2651555086979439E-2</v>
      </c>
      <c r="J1012" s="4">
        <v>1.2651555086979439E-2</v>
      </c>
      <c r="K1012" s="4">
        <v>1.2651555086979439E-2</v>
      </c>
      <c r="L1012" s="4">
        <v>1.2651555086979439E-2</v>
      </c>
      <c r="M1012" s="4">
        <v>1.2651555086979439E-2</v>
      </c>
      <c r="N1012" t="s">
        <v>242</v>
      </c>
      <c r="O1012" t="s">
        <v>302</v>
      </c>
      <c r="P1012" t="s">
        <v>304</v>
      </c>
      <c r="Q1012" t="s">
        <v>245</v>
      </c>
    </row>
    <row r="1013" spans="1:18" x14ac:dyDescent="0.25">
      <c r="A1013" t="s">
        <v>550</v>
      </c>
      <c r="B1013" t="s">
        <v>86</v>
      </c>
      <c r="C1013" s="4">
        <v>0.91463414634146345</v>
      </c>
      <c r="D1013" s="4">
        <v>0.91463414634146345</v>
      </c>
      <c r="E1013" s="4">
        <v>0.91463414634146345</v>
      </c>
      <c r="F1013" s="4">
        <v>0.91463414634146345</v>
      </c>
      <c r="G1013" s="4">
        <v>0.91463414634146345</v>
      </c>
      <c r="H1013" s="4">
        <v>0.91463414634146345</v>
      </c>
      <c r="I1013" s="4">
        <v>0.91463414634146345</v>
      </c>
      <c r="J1013" s="4">
        <v>0.91463414634146345</v>
      </c>
      <c r="K1013" s="4">
        <v>0.91463414634146345</v>
      </c>
      <c r="L1013" s="4">
        <v>0.91463414634146345</v>
      </c>
      <c r="M1013" s="4">
        <v>0.91463414634146345</v>
      </c>
      <c r="N1013" t="s">
        <v>242</v>
      </c>
      <c r="O1013" t="s">
        <v>315</v>
      </c>
      <c r="P1013" t="s">
        <v>550</v>
      </c>
      <c r="Q1013" t="s">
        <v>245</v>
      </c>
      <c r="R1013" t="s">
        <v>736</v>
      </c>
    </row>
    <row r="1014" spans="1:18" x14ac:dyDescent="0.25">
      <c r="A1014" t="s">
        <v>550</v>
      </c>
      <c r="B1014" t="s">
        <v>107</v>
      </c>
      <c r="C1014" s="4">
        <v>5.4878048780487812E-2</v>
      </c>
      <c r="D1014" s="4">
        <v>5.4878048780487812E-2</v>
      </c>
      <c r="E1014" s="4">
        <v>5.4878048780487812E-2</v>
      </c>
      <c r="F1014" s="4">
        <v>5.4878048780487812E-2</v>
      </c>
      <c r="G1014" s="4">
        <v>5.4878048780487812E-2</v>
      </c>
      <c r="H1014" s="4">
        <v>5.4878048780487812E-2</v>
      </c>
      <c r="I1014" s="4">
        <v>5.4878048780487812E-2</v>
      </c>
      <c r="J1014" s="4">
        <v>5.4878048780487812E-2</v>
      </c>
      <c r="K1014" s="4">
        <v>5.4878048780487812E-2</v>
      </c>
      <c r="L1014" s="4">
        <v>5.4878048780487812E-2</v>
      </c>
      <c r="M1014" s="4">
        <v>5.4878048780487812E-2</v>
      </c>
      <c r="N1014" t="s">
        <v>242</v>
      </c>
      <c r="O1014" t="s">
        <v>315</v>
      </c>
      <c r="P1014" t="s">
        <v>550</v>
      </c>
      <c r="Q1014" t="s">
        <v>245</v>
      </c>
    </row>
    <row r="1015" spans="1:18" x14ac:dyDescent="0.25">
      <c r="A1015" t="s">
        <v>550</v>
      </c>
      <c r="B1015" t="s">
        <v>113</v>
      </c>
      <c r="C1015" s="4">
        <v>3.048780487804878E-2</v>
      </c>
      <c r="D1015" s="4">
        <v>3.048780487804878E-2</v>
      </c>
      <c r="E1015" s="4">
        <v>3.048780487804878E-2</v>
      </c>
      <c r="F1015" s="4">
        <v>3.048780487804878E-2</v>
      </c>
      <c r="G1015" s="4">
        <v>3.048780487804878E-2</v>
      </c>
      <c r="H1015" s="4">
        <v>3.048780487804878E-2</v>
      </c>
      <c r="I1015" s="4">
        <v>3.048780487804878E-2</v>
      </c>
      <c r="J1015" s="4">
        <v>3.048780487804878E-2</v>
      </c>
      <c r="K1015" s="4">
        <v>3.048780487804878E-2</v>
      </c>
      <c r="L1015" s="4">
        <v>3.048780487804878E-2</v>
      </c>
      <c r="M1015" s="4">
        <v>3.048780487804878E-2</v>
      </c>
      <c r="N1015" t="s">
        <v>242</v>
      </c>
      <c r="O1015" t="s">
        <v>315</v>
      </c>
      <c r="P1015" t="s">
        <v>550</v>
      </c>
      <c r="Q1015" t="s">
        <v>245</v>
      </c>
    </row>
    <row r="1016" spans="1:18" x14ac:dyDescent="0.25">
      <c r="A1016" t="s">
        <v>565</v>
      </c>
      <c r="B1016" t="s">
        <v>183</v>
      </c>
      <c r="C1016" s="4">
        <f t="shared" ref="C1016:M1016" si="478">(0.0328453630665826/(0.0328453630665826+0.350336698877979+0.0822572721273277+0.0181224344560457+0.178561789731549)) * 0.0037512926731404%</f>
        <v>1.8608697467613896E-6</v>
      </c>
      <c r="D1016" s="4">
        <f t="shared" si="478"/>
        <v>1.8608697467613896E-6</v>
      </c>
      <c r="E1016" s="4">
        <f t="shared" si="478"/>
        <v>1.8608697467613896E-6</v>
      </c>
      <c r="F1016" s="4">
        <f t="shared" si="478"/>
        <v>1.8608697467613896E-6</v>
      </c>
      <c r="G1016" s="4">
        <f t="shared" si="478"/>
        <v>1.8608697467613896E-6</v>
      </c>
      <c r="H1016" s="4">
        <f t="shared" si="478"/>
        <v>1.8608697467613896E-6</v>
      </c>
      <c r="I1016" s="4">
        <f t="shared" si="478"/>
        <v>1.8608697467613896E-6</v>
      </c>
      <c r="J1016" s="4">
        <f t="shared" si="478"/>
        <v>1.8608697467613896E-6</v>
      </c>
      <c r="K1016" s="4">
        <f t="shared" si="478"/>
        <v>1.8608697467613896E-6</v>
      </c>
      <c r="L1016" s="4">
        <f t="shared" si="478"/>
        <v>1.8608697467613896E-6</v>
      </c>
      <c r="M1016" s="4">
        <f t="shared" si="478"/>
        <v>1.8608697467613896E-6</v>
      </c>
      <c r="N1016" t="s">
        <v>242</v>
      </c>
      <c r="O1016" t="s">
        <v>358</v>
      </c>
      <c r="P1016" t="s">
        <v>351</v>
      </c>
      <c r="Q1016" s="4" t="s">
        <v>245</v>
      </c>
      <c r="R1016" t="s">
        <v>359</v>
      </c>
    </row>
    <row r="1017" spans="1:18" x14ac:dyDescent="0.25">
      <c r="A1017" t="s">
        <v>565</v>
      </c>
      <c r="B1017" t="s">
        <v>183</v>
      </c>
      <c r="C1017" s="4">
        <f t="shared" ref="C1017:M1017" si="479">(0.350336698877979/(0.0328453630665826+0.350336698877979+0.0822572721273277+0.0181224344560457+0.178561789731549)) * 0.0037512926731404%</f>
        <v>1.9848493158706201E-5</v>
      </c>
      <c r="D1017" s="4">
        <f t="shared" si="479"/>
        <v>1.9848493158706201E-5</v>
      </c>
      <c r="E1017" s="4">
        <f t="shared" si="479"/>
        <v>1.9848493158706201E-5</v>
      </c>
      <c r="F1017" s="4">
        <f t="shared" si="479"/>
        <v>1.9848493158706201E-5</v>
      </c>
      <c r="G1017" s="4">
        <f t="shared" si="479"/>
        <v>1.9848493158706201E-5</v>
      </c>
      <c r="H1017" s="4">
        <f t="shared" si="479"/>
        <v>1.9848493158706201E-5</v>
      </c>
      <c r="I1017" s="4">
        <f t="shared" si="479"/>
        <v>1.9848493158706201E-5</v>
      </c>
      <c r="J1017" s="4">
        <f t="shared" si="479"/>
        <v>1.9848493158706201E-5</v>
      </c>
      <c r="K1017" s="4">
        <f t="shared" si="479"/>
        <v>1.9848493158706201E-5</v>
      </c>
      <c r="L1017" s="4">
        <f t="shared" si="479"/>
        <v>1.9848493158706201E-5</v>
      </c>
      <c r="M1017" s="4">
        <f t="shared" si="479"/>
        <v>1.9848493158706201E-5</v>
      </c>
      <c r="N1017" t="s">
        <v>256</v>
      </c>
      <c r="O1017" t="s">
        <v>356</v>
      </c>
      <c r="P1017" t="s">
        <v>351</v>
      </c>
      <c r="Q1017" s="4" t="s">
        <v>245</v>
      </c>
      <c r="R1017" t="s">
        <v>564</v>
      </c>
    </row>
    <row r="1018" spans="1:18" x14ac:dyDescent="0.25">
      <c r="A1018" t="s">
        <v>565</v>
      </c>
      <c r="B1018" t="s">
        <v>183</v>
      </c>
      <c r="C1018" s="4">
        <f t="shared" ref="C1018:M1018" si="480">(0.0822572721273277/(0.0328453630665826+0.350336698877979+0.0822572721273277+0.0181224344560457+0.178561789731549)) * 0.0037512926731404%</f>
        <v>4.6603250767107199E-6</v>
      </c>
      <c r="D1018" s="4">
        <f t="shared" si="480"/>
        <v>4.6603250767107199E-6</v>
      </c>
      <c r="E1018" s="4">
        <f t="shared" si="480"/>
        <v>4.6603250767107199E-6</v>
      </c>
      <c r="F1018" s="4">
        <f t="shared" si="480"/>
        <v>4.6603250767107199E-6</v>
      </c>
      <c r="G1018" s="4">
        <f t="shared" si="480"/>
        <v>4.6603250767107199E-6</v>
      </c>
      <c r="H1018" s="4">
        <f t="shared" si="480"/>
        <v>4.6603250767107199E-6</v>
      </c>
      <c r="I1018" s="4">
        <f t="shared" si="480"/>
        <v>4.6603250767107199E-6</v>
      </c>
      <c r="J1018" s="4">
        <f t="shared" si="480"/>
        <v>4.6603250767107199E-6</v>
      </c>
      <c r="K1018" s="4">
        <f t="shared" si="480"/>
        <v>4.6603250767107199E-6</v>
      </c>
      <c r="L1018" s="4">
        <f t="shared" si="480"/>
        <v>4.6603250767107199E-6</v>
      </c>
      <c r="M1018" s="4">
        <f t="shared" si="480"/>
        <v>4.6603250767107199E-6</v>
      </c>
      <c r="N1018" t="s">
        <v>256</v>
      </c>
      <c r="O1018" t="s">
        <v>353</v>
      </c>
      <c r="P1018" t="s">
        <v>351</v>
      </c>
      <c r="Q1018" s="4" t="s">
        <v>245</v>
      </c>
    </row>
    <row r="1019" spans="1:18" x14ac:dyDescent="0.25">
      <c r="A1019" t="s">
        <v>565</v>
      </c>
      <c r="B1019" t="s">
        <v>183</v>
      </c>
      <c r="C1019" s="4">
        <f t="shared" ref="C1019:M1019" si="481">(0.0181224344560457/(0.0328453630665826+0.350336698877979+0.0822572721273277+0.0181224344560457+0.178561789731549)) * 0.0037512926731404%</f>
        <v>1.026735187812019E-6</v>
      </c>
      <c r="D1019" s="4">
        <f t="shared" si="481"/>
        <v>1.026735187812019E-6</v>
      </c>
      <c r="E1019" s="4">
        <f t="shared" si="481"/>
        <v>1.026735187812019E-6</v>
      </c>
      <c r="F1019" s="4">
        <f t="shared" si="481"/>
        <v>1.026735187812019E-6</v>
      </c>
      <c r="G1019" s="4">
        <f t="shared" si="481"/>
        <v>1.026735187812019E-6</v>
      </c>
      <c r="H1019" s="4">
        <f t="shared" si="481"/>
        <v>1.026735187812019E-6</v>
      </c>
      <c r="I1019" s="4">
        <f t="shared" si="481"/>
        <v>1.026735187812019E-6</v>
      </c>
      <c r="J1019" s="4">
        <f t="shared" si="481"/>
        <v>1.026735187812019E-6</v>
      </c>
      <c r="K1019" s="4">
        <f t="shared" si="481"/>
        <v>1.026735187812019E-6</v>
      </c>
      <c r="L1019" s="4">
        <f t="shared" si="481"/>
        <v>1.026735187812019E-6</v>
      </c>
      <c r="M1019" s="4">
        <f t="shared" si="481"/>
        <v>1.026735187812019E-6</v>
      </c>
      <c r="N1019" t="s">
        <v>256</v>
      </c>
      <c r="O1019" t="s">
        <v>280</v>
      </c>
      <c r="P1019" t="s">
        <v>351</v>
      </c>
      <c r="Q1019" s="4" t="s">
        <v>245</v>
      </c>
    </row>
    <row r="1020" spans="1:18" x14ac:dyDescent="0.25">
      <c r="A1020" t="s">
        <v>565</v>
      </c>
      <c r="B1020" t="s">
        <v>183</v>
      </c>
      <c r="C1020" s="4">
        <f t="shared" ref="C1020:M1020" si="482">(0.178561789731549/(0.0328453630665826+0.350336698877979+0.0822572721273277+0.0181224344560457+0.178561789731549)) * 0.0037512926731404%</f>
        <v>1.0116503561413675E-5</v>
      </c>
      <c r="D1020" s="4">
        <f t="shared" si="482"/>
        <v>1.0116503561413675E-5</v>
      </c>
      <c r="E1020" s="4">
        <f t="shared" si="482"/>
        <v>1.0116503561413675E-5</v>
      </c>
      <c r="F1020" s="4">
        <f t="shared" si="482"/>
        <v>1.0116503561413675E-5</v>
      </c>
      <c r="G1020" s="4">
        <f t="shared" si="482"/>
        <v>1.0116503561413675E-5</v>
      </c>
      <c r="H1020" s="4">
        <f t="shared" si="482"/>
        <v>1.0116503561413675E-5</v>
      </c>
      <c r="I1020" s="4">
        <f t="shared" si="482"/>
        <v>1.0116503561413675E-5</v>
      </c>
      <c r="J1020" s="4">
        <f t="shared" si="482"/>
        <v>1.0116503561413675E-5</v>
      </c>
      <c r="K1020" s="4">
        <f t="shared" si="482"/>
        <v>1.0116503561413675E-5</v>
      </c>
      <c r="L1020" s="4">
        <f t="shared" si="482"/>
        <v>1.0116503561413675E-5</v>
      </c>
      <c r="M1020" s="4">
        <f t="shared" si="482"/>
        <v>1.0116503561413675E-5</v>
      </c>
      <c r="N1020" t="s">
        <v>256</v>
      </c>
      <c r="O1020" t="s">
        <v>354</v>
      </c>
      <c r="P1020" t="s">
        <v>351</v>
      </c>
      <c r="Q1020" s="4" t="s">
        <v>245</v>
      </c>
    </row>
    <row r="1021" spans="1:18" x14ac:dyDescent="0.25">
      <c r="A1021" t="s">
        <v>565</v>
      </c>
      <c r="B1021" t="s">
        <v>184</v>
      </c>
      <c r="C1021" s="4">
        <f t="shared" ref="C1021:M1021" si="483">(0.0328453630665826/(0.0328453630665826+0.350336698877979+0.0822572721273277+0.0181224344560457+0.178561789731549)) * 0.000705629007648596%</f>
        <v>3.5003498451942532E-7</v>
      </c>
      <c r="D1021" s="4">
        <f t="shared" si="483"/>
        <v>3.5003498451942532E-7</v>
      </c>
      <c r="E1021" s="4">
        <f t="shared" si="483"/>
        <v>3.5003498451942532E-7</v>
      </c>
      <c r="F1021" s="4">
        <f t="shared" si="483"/>
        <v>3.5003498451942532E-7</v>
      </c>
      <c r="G1021" s="4">
        <f t="shared" si="483"/>
        <v>3.5003498451942532E-7</v>
      </c>
      <c r="H1021" s="4">
        <f t="shared" si="483"/>
        <v>3.5003498451942532E-7</v>
      </c>
      <c r="I1021" s="4">
        <f t="shared" si="483"/>
        <v>3.5003498451942532E-7</v>
      </c>
      <c r="J1021" s="4">
        <f t="shared" si="483"/>
        <v>3.5003498451942532E-7</v>
      </c>
      <c r="K1021" s="4">
        <f t="shared" si="483"/>
        <v>3.5003498451942532E-7</v>
      </c>
      <c r="L1021" s="4">
        <f t="shared" si="483"/>
        <v>3.5003498451942532E-7</v>
      </c>
      <c r="M1021" s="4">
        <f t="shared" si="483"/>
        <v>3.5003498451942532E-7</v>
      </c>
      <c r="N1021" t="s">
        <v>242</v>
      </c>
      <c r="O1021" t="s">
        <v>358</v>
      </c>
      <c r="P1021" t="s">
        <v>351</v>
      </c>
      <c r="Q1021" s="4" t="s">
        <v>245</v>
      </c>
    </row>
    <row r="1022" spans="1:18" x14ac:dyDescent="0.25">
      <c r="A1022" t="s">
        <v>565</v>
      </c>
      <c r="B1022" t="s">
        <v>184</v>
      </c>
      <c r="C1022" s="4">
        <f t="shared" ref="C1022:M1022" si="484">(0.350336698877979/(0.0328453630665826+0.350336698877979+0.0822572721273277+0.0181224344560457+0.178561789731549)) * 0.000705629007648596%</f>
        <v>3.7335590025219047E-6</v>
      </c>
      <c r="D1022" s="4">
        <f t="shared" si="484"/>
        <v>3.7335590025219047E-6</v>
      </c>
      <c r="E1022" s="4">
        <f t="shared" si="484"/>
        <v>3.7335590025219047E-6</v>
      </c>
      <c r="F1022" s="4">
        <f t="shared" si="484"/>
        <v>3.7335590025219047E-6</v>
      </c>
      <c r="G1022" s="4">
        <f t="shared" si="484"/>
        <v>3.7335590025219047E-6</v>
      </c>
      <c r="H1022" s="4">
        <f t="shared" si="484"/>
        <v>3.7335590025219047E-6</v>
      </c>
      <c r="I1022" s="4">
        <f t="shared" si="484"/>
        <v>3.7335590025219047E-6</v>
      </c>
      <c r="J1022" s="4">
        <f t="shared" si="484"/>
        <v>3.7335590025219047E-6</v>
      </c>
      <c r="K1022" s="4">
        <f t="shared" si="484"/>
        <v>3.7335590025219047E-6</v>
      </c>
      <c r="L1022" s="4">
        <f t="shared" si="484"/>
        <v>3.7335590025219047E-6</v>
      </c>
      <c r="M1022" s="4">
        <f t="shared" si="484"/>
        <v>3.7335590025219047E-6</v>
      </c>
      <c r="N1022" t="s">
        <v>256</v>
      </c>
      <c r="O1022" t="s">
        <v>356</v>
      </c>
      <c r="P1022" t="s">
        <v>351</v>
      </c>
      <c r="Q1022" s="4" t="s">
        <v>245</v>
      </c>
    </row>
    <row r="1023" spans="1:18" x14ac:dyDescent="0.25">
      <c r="A1023" t="s">
        <v>565</v>
      </c>
      <c r="B1023" t="s">
        <v>184</v>
      </c>
      <c r="C1023" s="4">
        <f t="shared" ref="C1023:M1023" si="485">(0.0822572721273277/(0.0328453630665826+0.350336698877979+0.0822572721273277+0.0181224344560457+0.178561789731549)) * 0.000705629007648596%</f>
        <v>8.7662063340056928E-7</v>
      </c>
      <c r="D1023" s="4">
        <f t="shared" si="485"/>
        <v>8.7662063340056928E-7</v>
      </c>
      <c r="E1023" s="4">
        <f t="shared" si="485"/>
        <v>8.7662063340056928E-7</v>
      </c>
      <c r="F1023" s="4">
        <f t="shared" si="485"/>
        <v>8.7662063340056928E-7</v>
      </c>
      <c r="G1023" s="4">
        <f t="shared" si="485"/>
        <v>8.7662063340056928E-7</v>
      </c>
      <c r="H1023" s="4">
        <f t="shared" si="485"/>
        <v>8.7662063340056928E-7</v>
      </c>
      <c r="I1023" s="4">
        <f t="shared" si="485"/>
        <v>8.7662063340056928E-7</v>
      </c>
      <c r="J1023" s="4">
        <f t="shared" si="485"/>
        <v>8.7662063340056928E-7</v>
      </c>
      <c r="K1023" s="4">
        <f t="shared" si="485"/>
        <v>8.7662063340056928E-7</v>
      </c>
      <c r="L1023" s="4">
        <f t="shared" si="485"/>
        <v>8.7662063340056928E-7</v>
      </c>
      <c r="M1023" s="4">
        <f t="shared" si="485"/>
        <v>8.7662063340056928E-7</v>
      </c>
      <c r="N1023" t="s">
        <v>256</v>
      </c>
      <c r="O1023" t="s">
        <v>353</v>
      </c>
      <c r="P1023" t="s">
        <v>351</v>
      </c>
      <c r="Q1023" s="4" t="s">
        <v>245</v>
      </c>
    </row>
    <row r="1024" spans="1:18" x14ac:dyDescent="0.25">
      <c r="A1024" t="s">
        <v>565</v>
      </c>
      <c r="B1024" t="s">
        <v>184</v>
      </c>
      <c r="C1024" s="4">
        <f t="shared" ref="C1024:M1024" si="486">(0.0181224344560457/(0.0328453630665826+0.350336698877979+0.0822572721273277+0.0181224344560457+0.178561789731549)) * 0.000705629007648596%</f>
        <v>1.9313186008682671E-7</v>
      </c>
      <c r="D1024" s="4">
        <f t="shared" si="486"/>
        <v>1.9313186008682671E-7</v>
      </c>
      <c r="E1024" s="4">
        <f t="shared" si="486"/>
        <v>1.9313186008682671E-7</v>
      </c>
      <c r="F1024" s="4">
        <f t="shared" si="486"/>
        <v>1.9313186008682671E-7</v>
      </c>
      <c r="G1024" s="4">
        <f t="shared" si="486"/>
        <v>1.9313186008682671E-7</v>
      </c>
      <c r="H1024" s="4">
        <f t="shared" si="486"/>
        <v>1.9313186008682671E-7</v>
      </c>
      <c r="I1024" s="4">
        <f t="shared" si="486"/>
        <v>1.9313186008682671E-7</v>
      </c>
      <c r="J1024" s="4">
        <f t="shared" si="486"/>
        <v>1.9313186008682671E-7</v>
      </c>
      <c r="K1024" s="4">
        <f t="shared" si="486"/>
        <v>1.9313186008682671E-7</v>
      </c>
      <c r="L1024" s="4">
        <f t="shared" si="486"/>
        <v>1.9313186008682671E-7</v>
      </c>
      <c r="M1024" s="4">
        <f t="shared" si="486"/>
        <v>1.9313186008682671E-7</v>
      </c>
      <c r="N1024" t="s">
        <v>256</v>
      </c>
      <c r="O1024" t="s">
        <v>280</v>
      </c>
      <c r="P1024" t="s">
        <v>351</v>
      </c>
      <c r="Q1024" s="4" t="s">
        <v>245</v>
      </c>
    </row>
    <row r="1025" spans="1:17" x14ac:dyDescent="0.25">
      <c r="A1025" t="s">
        <v>565</v>
      </c>
      <c r="B1025" t="s">
        <v>184</v>
      </c>
      <c r="C1025" s="4">
        <f t="shared" ref="C1025:M1025" si="487">(0.178561789731549/(0.0328453630665826+0.350336698877979+0.0822572721273277+0.0181224344560457+0.178561789731549)) * 0.000705629007648596%</f>
        <v>1.9029435959572344E-6</v>
      </c>
      <c r="D1025" s="4">
        <f t="shared" si="487"/>
        <v>1.9029435959572344E-6</v>
      </c>
      <c r="E1025" s="4">
        <f t="shared" si="487"/>
        <v>1.9029435959572344E-6</v>
      </c>
      <c r="F1025" s="4">
        <f t="shared" si="487"/>
        <v>1.9029435959572344E-6</v>
      </c>
      <c r="G1025" s="4">
        <f t="shared" si="487"/>
        <v>1.9029435959572344E-6</v>
      </c>
      <c r="H1025" s="4">
        <f t="shared" si="487"/>
        <v>1.9029435959572344E-6</v>
      </c>
      <c r="I1025" s="4">
        <f t="shared" si="487"/>
        <v>1.9029435959572344E-6</v>
      </c>
      <c r="J1025" s="4">
        <f t="shared" si="487"/>
        <v>1.9029435959572344E-6</v>
      </c>
      <c r="K1025" s="4">
        <f t="shared" si="487"/>
        <v>1.9029435959572344E-6</v>
      </c>
      <c r="L1025" s="4">
        <f t="shared" si="487"/>
        <v>1.9029435959572344E-6</v>
      </c>
      <c r="M1025" s="4">
        <f t="shared" si="487"/>
        <v>1.9029435959572344E-6</v>
      </c>
      <c r="N1025" t="s">
        <v>256</v>
      </c>
      <c r="O1025" t="s">
        <v>354</v>
      </c>
      <c r="P1025" t="s">
        <v>351</v>
      </c>
      <c r="Q1025" s="4" t="s">
        <v>245</v>
      </c>
    </row>
    <row r="1026" spans="1:17" x14ac:dyDescent="0.25">
      <c r="A1026" t="s">
        <v>565</v>
      </c>
      <c r="B1026" t="s">
        <v>124</v>
      </c>
      <c r="C1026" s="4">
        <f t="shared" ref="C1026:M1026" si="488">(0.0328453630665826/(0.0328453630665826+0.350336698877979+0.0822572721273277+0.0181224344560457+0.178561789731549)) * 1.47077209262605%</f>
        <v>7.2959257781866004E-4</v>
      </c>
      <c r="D1026" s="4">
        <f t="shared" si="488"/>
        <v>7.2959257781866004E-4</v>
      </c>
      <c r="E1026" s="4">
        <f t="shared" si="488"/>
        <v>7.2959257781866004E-4</v>
      </c>
      <c r="F1026" s="4">
        <f t="shared" si="488"/>
        <v>7.2959257781866004E-4</v>
      </c>
      <c r="G1026" s="4">
        <f t="shared" si="488"/>
        <v>7.2959257781866004E-4</v>
      </c>
      <c r="H1026" s="4">
        <f t="shared" si="488"/>
        <v>7.2959257781866004E-4</v>
      </c>
      <c r="I1026" s="4">
        <f t="shared" si="488"/>
        <v>7.2959257781866004E-4</v>
      </c>
      <c r="J1026" s="4">
        <f t="shared" si="488"/>
        <v>7.2959257781866004E-4</v>
      </c>
      <c r="K1026" s="4">
        <f t="shared" si="488"/>
        <v>7.2959257781866004E-4</v>
      </c>
      <c r="L1026" s="4">
        <f t="shared" si="488"/>
        <v>7.2959257781866004E-4</v>
      </c>
      <c r="M1026" s="4">
        <f t="shared" si="488"/>
        <v>7.2959257781866004E-4</v>
      </c>
      <c r="N1026" t="s">
        <v>242</v>
      </c>
      <c r="O1026" t="s">
        <v>358</v>
      </c>
      <c r="P1026" t="s">
        <v>351</v>
      </c>
      <c r="Q1026" s="4" t="s">
        <v>245</v>
      </c>
    </row>
    <row r="1027" spans="1:17" x14ac:dyDescent="0.25">
      <c r="A1027" t="s">
        <v>565</v>
      </c>
      <c r="B1027" t="s">
        <v>124</v>
      </c>
      <c r="C1027" s="4">
        <f t="shared" ref="C1027:M1027" si="489">(0.350336698877979/(0.0328453630665826+0.350336698877979+0.0822572721273277+0.0181224344560457+0.178561789731549)) * 1.47077209262605%</f>
        <v>7.7820133916838632E-3</v>
      </c>
      <c r="D1027" s="4">
        <f t="shared" si="489"/>
        <v>7.7820133916838632E-3</v>
      </c>
      <c r="E1027" s="4">
        <f t="shared" si="489"/>
        <v>7.7820133916838632E-3</v>
      </c>
      <c r="F1027" s="4">
        <f t="shared" si="489"/>
        <v>7.7820133916838632E-3</v>
      </c>
      <c r="G1027" s="4">
        <f t="shared" si="489"/>
        <v>7.7820133916838632E-3</v>
      </c>
      <c r="H1027" s="4">
        <f t="shared" si="489"/>
        <v>7.7820133916838632E-3</v>
      </c>
      <c r="I1027" s="4">
        <f t="shared" si="489"/>
        <v>7.7820133916838632E-3</v>
      </c>
      <c r="J1027" s="4">
        <f t="shared" si="489"/>
        <v>7.7820133916838632E-3</v>
      </c>
      <c r="K1027" s="4">
        <f t="shared" si="489"/>
        <v>7.7820133916838632E-3</v>
      </c>
      <c r="L1027" s="4">
        <f t="shared" si="489"/>
        <v>7.7820133916838632E-3</v>
      </c>
      <c r="M1027" s="4">
        <f t="shared" si="489"/>
        <v>7.7820133916838632E-3</v>
      </c>
      <c r="N1027" t="s">
        <v>256</v>
      </c>
      <c r="O1027" t="s">
        <v>356</v>
      </c>
      <c r="P1027" t="s">
        <v>351</v>
      </c>
      <c r="Q1027" s="4" t="s">
        <v>245</v>
      </c>
    </row>
    <row r="1028" spans="1:17" x14ac:dyDescent="0.25">
      <c r="A1028" t="s">
        <v>565</v>
      </c>
      <c r="B1028" t="s">
        <v>124</v>
      </c>
      <c r="C1028" s="4">
        <f t="shared" ref="C1028:M1028" si="490">(0.0822572721273277/(0.0328453630665826+0.350336698877979+0.0822572721273277+0.0181224344560457+0.178561789731549)) * 1.47077209262605%</f>
        <v>1.827177099368633E-3</v>
      </c>
      <c r="D1028" s="4">
        <f t="shared" si="490"/>
        <v>1.827177099368633E-3</v>
      </c>
      <c r="E1028" s="4">
        <f t="shared" si="490"/>
        <v>1.827177099368633E-3</v>
      </c>
      <c r="F1028" s="4">
        <f t="shared" si="490"/>
        <v>1.827177099368633E-3</v>
      </c>
      <c r="G1028" s="4">
        <f t="shared" si="490"/>
        <v>1.827177099368633E-3</v>
      </c>
      <c r="H1028" s="4">
        <f t="shared" si="490"/>
        <v>1.827177099368633E-3</v>
      </c>
      <c r="I1028" s="4">
        <f t="shared" si="490"/>
        <v>1.827177099368633E-3</v>
      </c>
      <c r="J1028" s="4">
        <f t="shared" si="490"/>
        <v>1.827177099368633E-3</v>
      </c>
      <c r="K1028" s="4">
        <f t="shared" si="490"/>
        <v>1.827177099368633E-3</v>
      </c>
      <c r="L1028" s="4">
        <f t="shared" si="490"/>
        <v>1.827177099368633E-3</v>
      </c>
      <c r="M1028" s="4">
        <f t="shared" si="490"/>
        <v>1.827177099368633E-3</v>
      </c>
      <c r="N1028" t="s">
        <v>256</v>
      </c>
      <c r="O1028" t="s">
        <v>353</v>
      </c>
      <c r="P1028" t="s">
        <v>351</v>
      </c>
      <c r="Q1028" s="4" t="s">
        <v>245</v>
      </c>
    </row>
    <row r="1029" spans="1:17" x14ac:dyDescent="0.25">
      <c r="A1029" t="s">
        <v>565</v>
      </c>
      <c r="B1029" t="s">
        <v>124</v>
      </c>
      <c r="C1029" s="4">
        <f t="shared" ref="C1029:M1029" si="491">(0.0181224344560457/(0.0328453630665826+0.350336698877979+0.0822572721273277+0.0181224344560457+0.178561789731549)) * 1.47077209262605%</f>
        <v>4.0255282440730141E-4</v>
      </c>
      <c r="D1029" s="4">
        <f t="shared" si="491"/>
        <v>4.0255282440730141E-4</v>
      </c>
      <c r="E1029" s="4">
        <f t="shared" si="491"/>
        <v>4.0255282440730141E-4</v>
      </c>
      <c r="F1029" s="4">
        <f t="shared" si="491"/>
        <v>4.0255282440730141E-4</v>
      </c>
      <c r="G1029" s="4">
        <f t="shared" si="491"/>
        <v>4.0255282440730141E-4</v>
      </c>
      <c r="H1029" s="4">
        <f t="shared" si="491"/>
        <v>4.0255282440730141E-4</v>
      </c>
      <c r="I1029" s="4">
        <f t="shared" si="491"/>
        <v>4.0255282440730141E-4</v>
      </c>
      <c r="J1029" s="4">
        <f t="shared" si="491"/>
        <v>4.0255282440730141E-4</v>
      </c>
      <c r="K1029" s="4">
        <f t="shared" si="491"/>
        <v>4.0255282440730141E-4</v>
      </c>
      <c r="L1029" s="4">
        <f t="shared" si="491"/>
        <v>4.0255282440730141E-4</v>
      </c>
      <c r="M1029" s="4">
        <f t="shared" si="491"/>
        <v>4.0255282440730141E-4</v>
      </c>
      <c r="N1029" t="s">
        <v>256</v>
      </c>
      <c r="O1029" t="s">
        <v>280</v>
      </c>
      <c r="P1029" t="s">
        <v>351</v>
      </c>
      <c r="Q1029" s="4" t="s">
        <v>245</v>
      </c>
    </row>
    <row r="1030" spans="1:17" x14ac:dyDescent="0.25">
      <c r="A1030" t="s">
        <v>565</v>
      </c>
      <c r="B1030" t="s">
        <v>124</v>
      </c>
      <c r="C1030" s="4">
        <f t="shared" ref="C1030:M1030" si="492">(0.178561789731549/(0.0328453630665826+0.350336698877979+0.0822572721273277+0.0181224344560457+0.178561789731549)) * 1.47077209262605%</f>
        <v>3.9663850329820418E-3</v>
      </c>
      <c r="D1030" s="4">
        <f t="shared" si="492"/>
        <v>3.9663850329820418E-3</v>
      </c>
      <c r="E1030" s="4">
        <f t="shared" si="492"/>
        <v>3.9663850329820418E-3</v>
      </c>
      <c r="F1030" s="4">
        <f t="shared" si="492"/>
        <v>3.9663850329820418E-3</v>
      </c>
      <c r="G1030" s="4">
        <f t="shared" si="492"/>
        <v>3.9663850329820418E-3</v>
      </c>
      <c r="H1030" s="4">
        <f t="shared" si="492"/>
        <v>3.9663850329820418E-3</v>
      </c>
      <c r="I1030" s="4">
        <f t="shared" si="492"/>
        <v>3.9663850329820418E-3</v>
      </c>
      <c r="J1030" s="4">
        <f t="shared" si="492"/>
        <v>3.9663850329820418E-3</v>
      </c>
      <c r="K1030" s="4">
        <f t="shared" si="492"/>
        <v>3.9663850329820418E-3</v>
      </c>
      <c r="L1030" s="4">
        <f t="shared" si="492"/>
        <v>3.9663850329820418E-3</v>
      </c>
      <c r="M1030" s="4">
        <f t="shared" si="492"/>
        <v>3.9663850329820418E-3</v>
      </c>
      <c r="N1030" t="s">
        <v>256</v>
      </c>
      <c r="O1030" t="s">
        <v>354</v>
      </c>
      <c r="P1030" t="s">
        <v>351</v>
      </c>
      <c r="Q1030" s="4" t="s">
        <v>245</v>
      </c>
    </row>
    <row r="1031" spans="1:17" x14ac:dyDescent="0.25">
      <c r="A1031" t="s">
        <v>565</v>
      </c>
      <c r="B1031" t="s">
        <v>164</v>
      </c>
      <c r="C1031" s="4">
        <f t="shared" ref="C1031:M1031" si="493">(0.0328453630665826/(0.0328453630665826+0.350336698877979+0.0822572721273277+0.0181224344560457+0.178561789731549)) * 0.146571810024648%</f>
        <v>7.2708548963893897E-5</v>
      </c>
      <c r="D1031" s="4">
        <f t="shared" si="493"/>
        <v>7.2708548963893897E-5</v>
      </c>
      <c r="E1031" s="4">
        <f t="shared" si="493"/>
        <v>7.2708548963893897E-5</v>
      </c>
      <c r="F1031" s="4">
        <f t="shared" si="493"/>
        <v>7.2708548963893897E-5</v>
      </c>
      <c r="G1031" s="4">
        <f t="shared" si="493"/>
        <v>7.2708548963893897E-5</v>
      </c>
      <c r="H1031" s="4">
        <f t="shared" si="493"/>
        <v>7.2708548963893897E-5</v>
      </c>
      <c r="I1031" s="4">
        <f t="shared" si="493"/>
        <v>7.2708548963893897E-5</v>
      </c>
      <c r="J1031" s="4">
        <f t="shared" si="493"/>
        <v>7.2708548963893897E-5</v>
      </c>
      <c r="K1031" s="4">
        <f t="shared" si="493"/>
        <v>7.2708548963893897E-5</v>
      </c>
      <c r="L1031" s="4">
        <f t="shared" si="493"/>
        <v>7.2708548963893897E-5</v>
      </c>
      <c r="M1031" s="4">
        <f t="shared" si="493"/>
        <v>7.2708548963893897E-5</v>
      </c>
      <c r="N1031" t="s">
        <v>242</v>
      </c>
      <c r="O1031" t="s">
        <v>358</v>
      </c>
      <c r="P1031" t="s">
        <v>351</v>
      </c>
      <c r="Q1031" s="4" t="s">
        <v>245</v>
      </c>
    </row>
    <row r="1032" spans="1:17" x14ac:dyDescent="0.25">
      <c r="A1032" t="s">
        <v>565</v>
      </c>
      <c r="B1032" t="s">
        <v>164</v>
      </c>
      <c r="C1032" s="4">
        <f t="shared" ref="C1032:M1032" si="494">(0.350336698877979/(0.0328453630665826+0.350336698877979+0.0822572721273277+0.0181224344560457+0.178561789731549)) * 0.146571810024648%</f>
        <v>7.7552721742128012E-4</v>
      </c>
      <c r="D1032" s="4">
        <f t="shared" si="494"/>
        <v>7.7552721742128012E-4</v>
      </c>
      <c r="E1032" s="4">
        <f t="shared" si="494"/>
        <v>7.7552721742128012E-4</v>
      </c>
      <c r="F1032" s="4">
        <f t="shared" si="494"/>
        <v>7.7552721742128012E-4</v>
      </c>
      <c r="G1032" s="4">
        <f t="shared" si="494"/>
        <v>7.7552721742128012E-4</v>
      </c>
      <c r="H1032" s="4">
        <f t="shared" si="494"/>
        <v>7.7552721742128012E-4</v>
      </c>
      <c r="I1032" s="4">
        <f t="shared" si="494"/>
        <v>7.7552721742128012E-4</v>
      </c>
      <c r="J1032" s="4">
        <f t="shared" si="494"/>
        <v>7.7552721742128012E-4</v>
      </c>
      <c r="K1032" s="4">
        <f t="shared" si="494"/>
        <v>7.7552721742128012E-4</v>
      </c>
      <c r="L1032" s="4">
        <f t="shared" si="494"/>
        <v>7.7552721742128012E-4</v>
      </c>
      <c r="M1032" s="4">
        <f t="shared" si="494"/>
        <v>7.7552721742128012E-4</v>
      </c>
      <c r="N1032" t="s">
        <v>256</v>
      </c>
      <c r="O1032" t="s">
        <v>356</v>
      </c>
      <c r="P1032" t="s">
        <v>351</v>
      </c>
      <c r="Q1032" s="4" t="s">
        <v>245</v>
      </c>
    </row>
    <row r="1033" spans="1:17" x14ac:dyDescent="0.25">
      <c r="A1033" t="s">
        <v>565</v>
      </c>
      <c r="B1033" t="s">
        <v>164</v>
      </c>
      <c r="C1033" s="4">
        <f t="shared" ref="C1033:M1033" si="495">(0.0822572721273277/(0.0328453630665826+0.350336698877979+0.0822572721273277+0.0181224344560457+0.178561789731549)) * 0.146571810024648%</f>
        <v>1.8208983977379502E-4</v>
      </c>
      <c r="D1033" s="4">
        <f t="shared" si="495"/>
        <v>1.8208983977379502E-4</v>
      </c>
      <c r="E1033" s="4">
        <f t="shared" si="495"/>
        <v>1.8208983977379502E-4</v>
      </c>
      <c r="F1033" s="4">
        <f t="shared" si="495"/>
        <v>1.8208983977379502E-4</v>
      </c>
      <c r="G1033" s="4">
        <f t="shared" si="495"/>
        <v>1.8208983977379502E-4</v>
      </c>
      <c r="H1033" s="4">
        <f t="shared" si="495"/>
        <v>1.8208983977379502E-4</v>
      </c>
      <c r="I1033" s="4">
        <f t="shared" si="495"/>
        <v>1.8208983977379502E-4</v>
      </c>
      <c r="J1033" s="4">
        <f t="shared" si="495"/>
        <v>1.8208983977379502E-4</v>
      </c>
      <c r="K1033" s="4">
        <f t="shared" si="495"/>
        <v>1.8208983977379502E-4</v>
      </c>
      <c r="L1033" s="4">
        <f t="shared" si="495"/>
        <v>1.8208983977379502E-4</v>
      </c>
      <c r="M1033" s="4">
        <f t="shared" si="495"/>
        <v>1.8208983977379502E-4</v>
      </c>
      <c r="N1033" t="s">
        <v>256</v>
      </c>
      <c r="O1033" t="s">
        <v>353</v>
      </c>
      <c r="P1033" t="s">
        <v>351</v>
      </c>
      <c r="Q1033" s="4" t="s">
        <v>245</v>
      </c>
    </row>
    <row r="1034" spans="1:17" x14ac:dyDescent="0.25">
      <c r="A1034" t="s">
        <v>565</v>
      </c>
      <c r="B1034" t="s">
        <v>164</v>
      </c>
      <c r="C1034" s="4">
        <f t="shared" ref="C1034:M1034" si="496">(0.0181224344560457/(0.0328453630665826+0.350336698877979+0.0822572721273277+0.0181224344560457+0.178561789731549)) * 0.146571810024648%</f>
        <v>4.0116953809317484E-5</v>
      </c>
      <c r="D1034" s="4">
        <f t="shared" si="496"/>
        <v>4.0116953809317484E-5</v>
      </c>
      <c r="E1034" s="4">
        <f t="shared" si="496"/>
        <v>4.0116953809317484E-5</v>
      </c>
      <c r="F1034" s="4">
        <f t="shared" si="496"/>
        <v>4.0116953809317484E-5</v>
      </c>
      <c r="G1034" s="4">
        <f t="shared" si="496"/>
        <v>4.0116953809317484E-5</v>
      </c>
      <c r="H1034" s="4">
        <f t="shared" si="496"/>
        <v>4.0116953809317484E-5</v>
      </c>
      <c r="I1034" s="4">
        <f t="shared" si="496"/>
        <v>4.0116953809317484E-5</v>
      </c>
      <c r="J1034" s="4">
        <f t="shared" si="496"/>
        <v>4.0116953809317484E-5</v>
      </c>
      <c r="K1034" s="4">
        <f t="shared" si="496"/>
        <v>4.0116953809317484E-5</v>
      </c>
      <c r="L1034" s="4">
        <f t="shared" si="496"/>
        <v>4.0116953809317484E-5</v>
      </c>
      <c r="M1034" s="4">
        <f t="shared" si="496"/>
        <v>4.0116953809317484E-5</v>
      </c>
      <c r="N1034" t="s">
        <v>256</v>
      </c>
      <c r="O1034" t="s">
        <v>280</v>
      </c>
      <c r="P1034" t="s">
        <v>351</v>
      </c>
      <c r="Q1034" s="4" t="s">
        <v>245</v>
      </c>
    </row>
    <row r="1035" spans="1:17" x14ac:dyDescent="0.25">
      <c r="A1035" t="s">
        <v>565</v>
      </c>
      <c r="B1035" t="s">
        <v>164</v>
      </c>
      <c r="C1035" s="4">
        <f t="shared" ref="C1035:M1035" si="497">(0.178561789731549/(0.0328453630665826+0.350336698877979+0.0822572721273277+0.0181224344560457+0.178561789731549)) * 0.146571810024648%</f>
        <v>3.9527554027819344E-4</v>
      </c>
      <c r="D1035" s="4">
        <f t="shared" si="497"/>
        <v>3.9527554027819344E-4</v>
      </c>
      <c r="E1035" s="4">
        <f t="shared" si="497"/>
        <v>3.9527554027819344E-4</v>
      </c>
      <c r="F1035" s="4">
        <f t="shared" si="497"/>
        <v>3.9527554027819344E-4</v>
      </c>
      <c r="G1035" s="4">
        <f t="shared" si="497"/>
        <v>3.9527554027819344E-4</v>
      </c>
      <c r="H1035" s="4">
        <f t="shared" si="497"/>
        <v>3.9527554027819344E-4</v>
      </c>
      <c r="I1035" s="4">
        <f t="shared" si="497"/>
        <v>3.9527554027819344E-4</v>
      </c>
      <c r="J1035" s="4">
        <f t="shared" si="497"/>
        <v>3.9527554027819344E-4</v>
      </c>
      <c r="K1035" s="4">
        <f t="shared" si="497"/>
        <v>3.9527554027819344E-4</v>
      </c>
      <c r="L1035" s="4">
        <f t="shared" si="497"/>
        <v>3.9527554027819344E-4</v>
      </c>
      <c r="M1035" s="4">
        <f t="shared" si="497"/>
        <v>3.9527554027819344E-4</v>
      </c>
      <c r="N1035" t="s">
        <v>256</v>
      </c>
      <c r="O1035" t="s">
        <v>354</v>
      </c>
      <c r="P1035" t="s">
        <v>351</v>
      </c>
      <c r="Q1035" s="4" t="s">
        <v>245</v>
      </c>
    </row>
    <row r="1036" spans="1:17" x14ac:dyDescent="0.25">
      <c r="A1036" t="s">
        <v>565</v>
      </c>
      <c r="B1036" t="s">
        <v>83</v>
      </c>
      <c r="C1036" s="4">
        <v>9.4474436357721583E-2</v>
      </c>
      <c r="D1036" s="4">
        <v>9.4474436357721583E-2</v>
      </c>
      <c r="E1036" s="4">
        <v>9.4474436357721583E-2</v>
      </c>
      <c r="F1036" s="4">
        <v>9.4474436357721583E-2</v>
      </c>
      <c r="G1036" s="4">
        <v>9.4474436357721583E-2</v>
      </c>
      <c r="H1036" s="4">
        <v>9.4474436357721583E-2</v>
      </c>
      <c r="I1036" s="4">
        <v>9.4474436357721583E-2</v>
      </c>
      <c r="J1036" s="4">
        <v>9.4474436357721583E-2</v>
      </c>
      <c r="K1036" s="4">
        <v>9.4474436357721583E-2</v>
      </c>
      <c r="L1036" s="4">
        <v>9.4474436357721583E-2</v>
      </c>
      <c r="M1036" s="4">
        <v>9.4474436357721583E-2</v>
      </c>
      <c r="N1036" t="s">
        <v>307</v>
      </c>
      <c r="O1036" t="s">
        <v>350</v>
      </c>
      <c r="P1036" t="s">
        <v>351</v>
      </c>
      <c r="Q1036" s="4" t="s">
        <v>245</v>
      </c>
    </row>
    <row r="1037" spans="1:17" x14ac:dyDescent="0.25">
      <c r="A1037" t="s">
        <v>565</v>
      </c>
      <c r="B1037" t="s">
        <v>125</v>
      </c>
      <c r="C1037" s="4">
        <f t="shared" ref="C1037:M1037" si="498">(0.0328453630665826/(0.0328453630665826+0.350336698877979+0.0822572721273277+0.0181224344560457+0.178561789731549)) * 0.107671749346585%</f>
        <v>5.3411748535259235E-5</v>
      </c>
      <c r="D1037" s="4">
        <f t="shared" si="498"/>
        <v>5.3411748535259235E-5</v>
      </c>
      <c r="E1037" s="4">
        <f t="shared" si="498"/>
        <v>5.3411748535259235E-5</v>
      </c>
      <c r="F1037" s="4">
        <f t="shared" si="498"/>
        <v>5.3411748535259235E-5</v>
      </c>
      <c r="G1037" s="4">
        <f t="shared" si="498"/>
        <v>5.3411748535259235E-5</v>
      </c>
      <c r="H1037" s="4">
        <f t="shared" si="498"/>
        <v>5.3411748535259235E-5</v>
      </c>
      <c r="I1037" s="4">
        <f t="shared" si="498"/>
        <v>5.3411748535259235E-5</v>
      </c>
      <c r="J1037" s="4">
        <f t="shared" si="498"/>
        <v>5.3411748535259235E-5</v>
      </c>
      <c r="K1037" s="4">
        <f t="shared" si="498"/>
        <v>5.3411748535259235E-5</v>
      </c>
      <c r="L1037" s="4">
        <f t="shared" si="498"/>
        <v>5.3411748535259235E-5</v>
      </c>
      <c r="M1037" s="4">
        <f t="shared" si="498"/>
        <v>5.3411748535259235E-5</v>
      </c>
      <c r="N1037" t="s">
        <v>242</v>
      </c>
      <c r="O1037" t="s">
        <v>358</v>
      </c>
      <c r="P1037" t="s">
        <v>351</v>
      </c>
      <c r="Q1037" s="4" t="s">
        <v>245</v>
      </c>
    </row>
    <row r="1038" spans="1:17" x14ac:dyDescent="0.25">
      <c r="A1038" t="s">
        <v>565</v>
      </c>
      <c r="B1038" t="s">
        <v>125</v>
      </c>
      <c r="C1038" s="4">
        <f t="shared" ref="C1038:M1038" si="499">(0.350336698877979/(0.0328453630665826+0.350336698877979+0.0822572721273277+0.0181224344560457+0.178561789731549)) * 0.107671749346585%</f>
        <v>5.6970281087199905E-4</v>
      </c>
      <c r="D1038" s="4">
        <f t="shared" si="499"/>
        <v>5.6970281087199905E-4</v>
      </c>
      <c r="E1038" s="4">
        <f t="shared" si="499"/>
        <v>5.6970281087199905E-4</v>
      </c>
      <c r="F1038" s="4">
        <f t="shared" si="499"/>
        <v>5.6970281087199905E-4</v>
      </c>
      <c r="G1038" s="4">
        <f t="shared" si="499"/>
        <v>5.6970281087199905E-4</v>
      </c>
      <c r="H1038" s="4">
        <f t="shared" si="499"/>
        <v>5.6970281087199905E-4</v>
      </c>
      <c r="I1038" s="4">
        <f t="shared" si="499"/>
        <v>5.6970281087199905E-4</v>
      </c>
      <c r="J1038" s="4">
        <f t="shared" si="499"/>
        <v>5.6970281087199905E-4</v>
      </c>
      <c r="K1038" s="4">
        <f t="shared" si="499"/>
        <v>5.6970281087199905E-4</v>
      </c>
      <c r="L1038" s="4">
        <f t="shared" si="499"/>
        <v>5.6970281087199905E-4</v>
      </c>
      <c r="M1038" s="4">
        <f t="shared" si="499"/>
        <v>5.6970281087199905E-4</v>
      </c>
      <c r="N1038" t="s">
        <v>256</v>
      </c>
      <c r="O1038" t="s">
        <v>356</v>
      </c>
      <c r="P1038" t="s">
        <v>351</v>
      </c>
      <c r="Q1038" s="4" t="s">
        <v>245</v>
      </c>
    </row>
    <row r="1039" spans="1:17" x14ac:dyDescent="0.25">
      <c r="A1039" t="s">
        <v>565</v>
      </c>
      <c r="B1039" t="s">
        <v>125</v>
      </c>
      <c r="C1039" s="4">
        <f t="shared" ref="C1039:M1039" si="500">(0.0822572721273277/(0.0328453630665826+0.350336698877979+0.0822572721273277+0.0181224344560457+0.178561789731549)) * 0.107671749346585%</f>
        <v>1.3376331767607212E-4</v>
      </c>
      <c r="D1039" s="4">
        <f t="shared" si="500"/>
        <v>1.3376331767607212E-4</v>
      </c>
      <c r="E1039" s="4">
        <f t="shared" si="500"/>
        <v>1.3376331767607212E-4</v>
      </c>
      <c r="F1039" s="4">
        <f t="shared" si="500"/>
        <v>1.3376331767607212E-4</v>
      </c>
      <c r="G1039" s="4">
        <f t="shared" si="500"/>
        <v>1.3376331767607212E-4</v>
      </c>
      <c r="H1039" s="4">
        <f t="shared" si="500"/>
        <v>1.3376331767607212E-4</v>
      </c>
      <c r="I1039" s="4">
        <f t="shared" si="500"/>
        <v>1.3376331767607212E-4</v>
      </c>
      <c r="J1039" s="4">
        <f t="shared" si="500"/>
        <v>1.3376331767607212E-4</v>
      </c>
      <c r="K1039" s="4">
        <f t="shared" si="500"/>
        <v>1.3376331767607212E-4</v>
      </c>
      <c r="L1039" s="4">
        <f t="shared" si="500"/>
        <v>1.3376331767607212E-4</v>
      </c>
      <c r="M1039" s="4">
        <f t="shared" si="500"/>
        <v>1.3376331767607212E-4</v>
      </c>
      <c r="N1039" t="s">
        <v>256</v>
      </c>
      <c r="O1039" t="s">
        <v>353</v>
      </c>
      <c r="P1039" t="s">
        <v>351</v>
      </c>
      <c r="Q1039" s="4" t="s">
        <v>245</v>
      </c>
    </row>
    <row r="1040" spans="1:17" x14ac:dyDescent="0.25">
      <c r="A1040" t="s">
        <v>565</v>
      </c>
      <c r="B1040" t="s">
        <v>125</v>
      </c>
      <c r="C1040" s="4">
        <f t="shared" ref="C1040:M1040" si="501">(0.0181224344560457/(0.0328453630665826+0.350336698877979+0.0822572721273277+0.0181224344560457+0.178561789731549)) * 0.107671749346585%</f>
        <v>2.9469941009659265E-5</v>
      </c>
      <c r="D1040" s="4">
        <f t="shared" si="501"/>
        <v>2.9469941009659265E-5</v>
      </c>
      <c r="E1040" s="4">
        <f t="shared" si="501"/>
        <v>2.9469941009659265E-5</v>
      </c>
      <c r="F1040" s="4">
        <f t="shared" si="501"/>
        <v>2.9469941009659265E-5</v>
      </c>
      <c r="G1040" s="4">
        <f t="shared" si="501"/>
        <v>2.9469941009659265E-5</v>
      </c>
      <c r="H1040" s="4">
        <f t="shared" si="501"/>
        <v>2.9469941009659265E-5</v>
      </c>
      <c r="I1040" s="4">
        <f t="shared" si="501"/>
        <v>2.9469941009659265E-5</v>
      </c>
      <c r="J1040" s="4">
        <f t="shared" si="501"/>
        <v>2.9469941009659265E-5</v>
      </c>
      <c r="K1040" s="4">
        <f t="shared" si="501"/>
        <v>2.9469941009659265E-5</v>
      </c>
      <c r="L1040" s="4">
        <f t="shared" si="501"/>
        <v>2.9469941009659265E-5</v>
      </c>
      <c r="M1040" s="4">
        <f t="shared" si="501"/>
        <v>2.9469941009659265E-5</v>
      </c>
      <c r="N1040" t="s">
        <v>256</v>
      </c>
      <c r="O1040" t="s">
        <v>280</v>
      </c>
      <c r="P1040" t="s">
        <v>351</v>
      </c>
      <c r="Q1040" s="4" t="s">
        <v>245</v>
      </c>
    </row>
    <row r="1041" spans="1:17" x14ac:dyDescent="0.25">
      <c r="A1041" t="s">
        <v>565</v>
      </c>
      <c r="B1041" t="s">
        <v>125</v>
      </c>
      <c r="C1041" s="4">
        <f t="shared" ref="C1041:M1041" si="502">(0.178561789731549/(0.0328453630665826+0.350336698877979+0.0822572721273277+0.0181224344560457+0.178561789731549)) * 0.107671749346585%</f>
        <v>2.903696753728604E-4</v>
      </c>
      <c r="D1041" s="4">
        <f t="shared" si="502"/>
        <v>2.903696753728604E-4</v>
      </c>
      <c r="E1041" s="4">
        <f t="shared" si="502"/>
        <v>2.903696753728604E-4</v>
      </c>
      <c r="F1041" s="4">
        <f t="shared" si="502"/>
        <v>2.903696753728604E-4</v>
      </c>
      <c r="G1041" s="4">
        <f t="shared" si="502"/>
        <v>2.903696753728604E-4</v>
      </c>
      <c r="H1041" s="4">
        <f t="shared" si="502"/>
        <v>2.903696753728604E-4</v>
      </c>
      <c r="I1041" s="4">
        <f t="shared" si="502"/>
        <v>2.903696753728604E-4</v>
      </c>
      <c r="J1041" s="4">
        <f t="shared" si="502"/>
        <v>2.903696753728604E-4</v>
      </c>
      <c r="K1041" s="4">
        <f t="shared" si="502"/>
        <v>2.903696753728604E-4</v>
      </c>
      <c r="L1041" s="4">
        <f t="shared" si="502"/>
        <v>2.903696753728604E-4</v>
      </c>
      <c r="M1041" s="4">
        <f t="shared" si="502"/>
        <v>2.903696753728604E-4</v>
      </c>
      <c r="N1041" t="s">
        <v>256</v>
      </c>
      <c r="O1041" t="s">
        <v>354</v>
      </c>
      <c r="P1041" t="s">
        <v>351</v>
      </c>
      <c r="Q1041" s="4" t="s">
        <v>245</v>
      </c>
    </row>
    <row r="1042" spans="1:17" x14ac:dyDescent="0.25">
      <c r="A1042" t="s">
        <v>565</v>
      </c>
      <c r="B1042" t="s">
        <v>185</v>
      </c>
      <c r="C1042" s="4">
        <f t="shared" ref="C1042:M1042" si="503">(0.0328453630665826/(0.0328453630665826+0.350336698877979+0.0822572721273277+0.0181224344560457+0.178561789731549)) * 0.000150775428984743%</f>
        <v>7.4793800110988451E-8</v>
      </c>
      <c r="D1042" s="4">
        <f t="shared" si="503"/>
        <v>7.4793800110988451E-8</v>
      </c>
      <c r="E1042" s="4">
        <f t="shared" si="503"/>
        <v>7.4793800110988451E-8</v>
      </c>
      <c r="F1042" s="4">
        <f t="shared" si="503"/>
        <v>7.4793800110988451E-8</v>
      </c>
      <c r="G1042" s="4">
        <f t="shared" si="503"/>
        <v>7.4793800110988451E-8</v>
      </c>
      <c r="H1042" s="4">
        <f t="shared" si="503"/>
        <v>7.4793800110988451E-8</v>
      </c>
      <c r="I1042" s="4">
        <f t="shared" si="503"/>
        <v>7.4793800110988451E-8</v>
      </c>
      <c r="J1042" s="4">
        <f t="shared" si="503"/>
        <v>7.4793800110988451E-8</v>
      </c>
      <c r="K1042" s="4">
        <f t="shared" si="503"/>
        <v>7.4793800110988451E-8</v>
      </c>
      <c r="L1042" s="4">
        <f t="shared" si="503"/>
        <v>7.4793800110988451E-8</v>
      </c>
      <c r="M1042" s="4">
        <f t="shared" si="503"/>
        <v>7.4793800110988451E-8</v>
      </c>
      <c r="N1042" t="s">
        <v>242</v>
      </c>
      <c r="O1042" t="s">
        <v>358</v>
      </c>
      <c r="P1042" t="s">
        <v>351</v>
      </c>
      <c r="Q1042" s="4" t="s">
        <v>245</v>
      </c>
    </row>
    <row r="1043" spans="1:17" x14ac:dyDescent="0.25">
      <c r="A1043" t="s">
        <v>565</v>
      </c>
      <c r="B1043" t="s">
        <v>185</v>
      </c>
      <c r="C1043" s="4">
        <f t="shared" ref="C1043:M1043" si="504">(0.350336698877979/(0.0328453630665826+0.350336698877979+0.0822572721273277+0.0181224344560457+0.178561789731549)) * 0.000150775428984743%</f>
        <v>7.9776901763288709E-7</v>
      </c>
      <c r="D1043" s="4">
        <f t="shared" si="504"/>
        <v>7.9776901763288709E-7</v>
      </c>
      <c r="E1043" s="4">
        <f t="shared" si="504"/>
        <v>7.9776901763288709E-7</v>
      </c>
      <c r="F1043" s="4">
        <f t="shared" si="504"/>
        <v>7.9776901763288709E-7</v>
      </c>
      <c r="G1043" s="4">
        <f t="shared" si="504"/>
        <v>7.9776901763288709E-7</v>
      </c>
      <c r="H1043" s="4">
        <f t="shared" si="504"/>
        <v>7.9776901763288709E-7</v>
      </c>
      <c r="I1043" s="4">
        <f t="shared" si="504"/>
        <v>7.9776901763288709E-7</v>
      </c>
      <c r="J1043" s="4">
        <f t="shared" si="504"/>
        <v>7.9776901763288709E-7</v>
      </c>
      <c r="K1043" s="4">
        <f t="shared" si="504"/>
        <v>7.9776901763288709E-7</v>
      </c>
      <c r="L1043" s="4">
        <f t="shared" si="504"/>
        <v>7.9776901763288709E-7</v>
      </c>
      <c r="M1043" s="4">
        <f t="shared" si="504"/>
        <v>7.9776901763288709E-7</v>
      </c>
      <c r="N1043" t="s">
        <v>256</v>
      </c>
      <c r="O1043" t="s">
        <v>356</v>
      </c>
      <c r="P1043" t="s">
        <v>351</v>
      </c>
      <c r="Q1043" s="4" t="s">
        <v>245</v>
      </c>
    </row>
    <row r="1044" spans="1:17" x14ac:dyDescent="0.25">
      <c r="A1044" t="s">
        <v>565</v>
      </c>
      <c r="B1044" t="s">
        <v>185</v>
      </c>
      <c r="C1044" s="4">
        <f t="shared" ref="C1044:M1044" si="505">(0.0822572721273277/(0.0328453630665826+0.350336698877979+0.0822572721273277+0.0181224344560457+0.178561789731549)) * 0.000150775428984743%</f>
        <v>1.8731210115396812E-7</v>
      </c>
      <c r="D1044" s="4">
        <f t="shared" si="505"/>
        <v>1.8731210115396812E-7</v>
      </c>
      <c r="E1044" s="4">
        <f t="shared" si="505"/>
        <v>1.8731210115396812E-7</v>
      </c>
      <c r="F1044" s="4">
        <f t="shared" si="505"/>
        <v>1.8731210115396812E-7</v>
      </c>
      <c r="G1044" s="4">
        <f t="shared" si="505"/>
        <v>1.8731210115396812E-7</v>
      </c>
      <c r="H1044" s="4">
        <f t="shared" si="505"/>
        <v>1.8731210115396812E-7</v>
      </c>
      <c r="I1044" s="4">
        <f t="shared" si="505"/>
        <v>1.8731210115396812E-7</v>
      </c>
      <c r="J1044" s="4">
        <f t="shared" si="505"/>
        <v>1.8731210115396812E-7</v>
      </c>
      <c r="K1044" s="4">
        <f t="shared" si="505"/>
        <v>1.8731210115396812E-7</v>
      </c>
      <c r="L1044" s="4">
        <f t="shared" si="505"/>
        <v>1.8731210115396812E-7</v>
      </c>
      <c r="M1044" s="4">
        <f t="shared" si="505"/>
        <v>1.8731210115396812E-7</v>
      </c>
      <c r="N1044" t="s">
        <v>256</v>
      </c>
      <c r="O1044" t="s">
        <v>353</v>
      </c>
      <c r="P1044" t="s">
        <v>351</v>
      </c>
      <c r="Q1044" s="4" t="s">
        <v>245</v>
      </c>
    </row>
    <row r="1045" spans="1:17" x14ac:dyDescent="0.25">
      <c r="A1045" t="s">
        <v>565</v>
      </c>
      <c r="B1045" t="s">
        <v>185</v>
      </c>
      <c r="C1045" s="4">
        <f t="shared" ref="C1045:M1045" si="506">(0.0181224344560457/(0.0328453630665826+0.350336698877979+0.0822572721273277+0.0181224344560457+0.178561789731549)) * 0.000150775428984743%</f>
        <v>4.1267491471544244E-8</v>
      </c>
      <c r="D1045" s="4">
        <f t="shared" si="506"/>
        <v>4.1267491471544244E-8</v>
      </c>
      <c r="E1045" s="4">
        <f t="shared" si="506"/>
        <v>4.1267491471544244E-8</v>
      </c>
      <c r="F1045" s="4">
        <f t="shared" si="506"/>
        <v>4.1267491471544244E-8</v>
      </c>
      <c r="G1045" s="4">
        <f t="shared" si="506"/>
        <v>4.1267491471544244E-8</v>
      </c>
      <c r="H1045" s="4">
        <f t="shared" si="506"/>
        <v>4.1267491471544244E-8</v>
      </c>
      <c r="I1045" s="4">
        <f t="shared" si="506"/>
        <v>4.1267491471544244E-8</v>
      </c>
      <c r="J1045" s="4">
        <f t="shared" si="506"/>
        <v>4.1267491471544244E-8</v>
      </c>
      <c r="K1045" s="4">
        <f t="shared" si="506"/>
        <v>4.1267491471544244E-8</v>
      </c>
      <c r="L1045" s="4">
        <f t="shared" si="506"/>
        <v>4.1267491471544244E-8</v>
      </c>
      <c r="M1045" s="4">
        <f t="shared" si="506"/>
        <v>4.1267491471544244E-8</v>
      </c>
      <c r="N1045" t="s">
        <v>256</v>
      </c>
      <c r="O1045" t="s">
        <v>280</v>
      </c>
      <c r="P1045" t="s">
        <v>351</v>
      </c>
      <c r="Q1045" s="4" t="s">
        <v>245</v>
      </c>
    </row>
    <row r="1046" spans="1:17" x14ac:dyDescent="0.25">
      <c r="A1046" t="s">
        <v>565</v>
      </c>
      <c r="B1046" t="s">
        <v>185</v>
      </c>
      <c r="C1046" s="4">
        <f t="shared" ref="C1046:M1046" si="507">(0.178561789731549/(0.0328453630665826+0.350336698877979+0.0822572721273277+0.0181224344560457+0.178561789731549)) * 0.000150775428984743%</f>
        <v>4.0661187947804226E-7</v>
      </c>
      <c r="D1046" s="4">
        <f t="shared" si="507"/>
        <v>4.0661187947804226E-7</v>
      </c>
      <c r="E1046" s="4">
        <f t="shared" si="507"/>
        <v>4.0661187947804226E-7</v>
      </c>
      <c r="F1046" s="4">
        <f t="shared" si="507"/>
        <v>4.0661187947804226E-7</v>
      </c>
      <c r="G1046" s="4">
        <f t="shared" si="507"/>
        <v>4.0661187947804226E-7</v>
      </c>
      <c r="H1046" s="4">
        <f t="shared" si="507"/>
        <v>4.0661187947804226E-7</v>
      </c>
      <c r="I1046" s="4">
        <f t="shared" si="507"/>
        <v>4.0661187947804226E-7</v>
      </c>
      <c r="J1046" s="4">
        <f t="shared" si="507"/>
        <v>4.0661187947804226E-7</v>
      </c>
      <c r="K1046" s="4">
        <f t="shared" si="507"/>
        <v>4.0661187947804226E-7</v>
      </c>
      <c r="L1046" s="4">
        <f t="shared" si="507"/>
        <v>4.0661187947804226E-7</v>
      </c>
      <c r="M1046" s="4">
        <f t="shared" si="507"/>
        <v>4.0661187947804226E-7</v>
      </c>
      <c r="N1046" t="s">
        <v>256</v>
      </c>
      <c r="O1046" t="s">
        <v>354</v>
      </c>
      <c r="P1046" t="s">
        <v>351</v>
      </c>
      <c r="Q1046" s="4" t="s">
        <v>245</v>
      </c>
    </row>
    <row r="1047" spans="1:17" x14ac:dyDescent="0.25">
      <c r="A1047" t="s">
        <v>565</v>
      </c>
      <c r="B1047" t="s">
        <v>144</v>
      </c>
      <c r="C1047" s="4">
        <f t="shared" ref="C1047:M1047" si="508">(0.0328453630665826/(0.0328453630665826+0.350336698877979+0.0822572721273277+0.0181224344560457+0.178561789731549)) * 1.03271519227094%</f>
        <v>5.122896627282002E-4</v>
      </c>
      <c r="D1047" s="4">
        <f t="shared" si="508"/>
        <v>5.122896627282002E-4</v>
      </c>
      <c r="E1047" s="4">
        <f t="shared" si="508"/>
        <v>5.122896627282002E-4</v>
      </c>
      <c r="F1047" s="4">
        <f t="shared" si="508"/>
        <v>5.122896627282002E-4</v>
      </c>
      <c r="G1047" s="4">
        <f t="shared" si="508"/>
        <v>5.122896627282002E-4</v>
      </c>
      <c r="H1047" s="4">
        <f t="shared" si="508"/>
        <v>5.122896627282002E-4</v>
      </c>
      <c r="I1047" s="4">
        <f t="shared" si="508"/>
        <v>5.122896627282002E-4</v>
      </c>
      <c r="J1047" s="4">
        <f t="shared" si="508"/>
        <v>5.122896627282002E-4</v>
      </c>
      <c r="K1047" s="4">
        <f t="shared" si="508"/>
        <v>5.122896627282002E-4</v>
      </c>
      <c r="L1047" s="4">
        <f t="shared" si="508"/>
        <v>5.122896627282002E-4</v>
      </c>
      <c r="M1047" s="4">
        <f t="shared" si="508"/>
        <v>5.122896627282002E-4</v>
      </c>
      <c r="N1047" t="s">
        <v>242</v>
      </c>
      <c r="O1047" t="s">
        <v>358</v>
      </c>
      <c r="P1047" t="s">
        <v>351</v>
      </c>
      <c r="Q1047" s="4" t="s">
        <v>245</v>
      </c>
    </row>
    <row r="1048" spans="1:17" x14ac:dyDescent="0.25">
      <c r="A1048" t="s">
        <v>565</v>
      </c>
      <c r="B1048" t="s">
        <v>144</v>
      </c>
      <c r="C1048" s="4">
        <f t="shared" ref="C1048:M1048" si="509">(0.350336698877979/(0.0328453630665826+0.350336698877979+0.0822572721273277+0.0181224344560457+0.178561789731549)) * 1.03271519227094%</f>
        <v>5.4642071986139955E-3</v>
      </c>
      <c r="D1048" s="4">
        <f t="shared" si="509"/>
        <v>5.4642071986139955E-3</v>
      </c>
      <c r="E1048" s="4">
        <f t="shared" si="509"/>
        <v>5.4642071986139955E-3</v>
      </c>
      <c r="F1048" s="4">
        <f t="shared" si="509"/>
        <v>5.4642071986139955E-3</v>
      </c>
      <c r="G1048" s="4">
        <f t="shared" si="509"/>
        <v>5.4642071986139955E-3</v>
      </c>
      <c r="H1048" s="4">
        <f t="shared" si="509"/>
        <v>5.4642071986139955E-3</v>
      </c>
      <c r="I1048" s="4">
        <f t="shared" si="509"/>
        <v>5.4642071986139955E-3</v>
      </c>
      <c r="J1048" s="4">
        <f t="shared" si="509"/>
        <v>5.4642071986139955E-3</v>
      </c>
      <c r="K1048" s="4">
        <f t="shared" si="509"/>
        <v>5.4642071986139955E-3</v>
      </c>
      <c r="L1048" s="4">
        <f t="shared" si="509"/>
        <v>5.4642071986139955E-3</v>
      </c>
      <c r="M1048" s="4">
        <f t="shared" si="509"/>
        <v>5.4642071986139955E-3</v>
      </c>
      <c r="N1048" t="s">
        <v>256</v>
      </c>
      <c r="O1048" t="s">
        <v>356</v>
      </c>
      <c r="P1048" t="s">
        <v>351</v>
      </c>
      <c r="Q1048" s="4" t="s">
        <v>245</v>
      </c>
    </row>
    <row r="1049" spans="1:17" x14ac:dyDescent="0.25">
      <c r="A1049" t="s">
        <v>565</v>
      </c>
      <c r="B1049" t="s">
        <v>144</v>
      </c>
      <c r="C1049" s="4">
        <f t="shared" ref="C1049:M1049" si="510">(0.0822572721273277/(0.0328453630665826+0.350336698877979+0.0822572721273277+0.0181224344560457+0.178561789731549)) * 1.03271519227094%</f>
        <v>1.2829680131599441E-3</v>
      </c>
      <c r="D1049" s="4">
        <f t="shared" si="510"/>
        <v>1.2829680131599441E-3</v>
      </c>
      <c r="E1049" s="4">
        <f t="shared" si="510"/>
        <v>1.2829680131599441E-3</v>
      </c>
      <c r="F1049" s="4">
        <f t="shared" si="510"/>
        <v>1.2829680131599441E-3</v>
      </c>
      <c r="G1049" s="4">
        <f t="shared" si="510"/>
        <v>1.2829680131599441E-3</v>
      </c>
      <c r="H1049" s="4">
        <f t="shared" si="510"/>
        <v>1.2829680131599441E-3</v>
      </c>
      <c r="I1049" s="4">
        <f t="shared" si="510"/>
        <v>1.2829680131599441E-3</v>
      </c>
      <c r="J1049" s="4">
        <f t="shared" si="510"/>
        <v>1.2829680131599441E-3</v>
      </c>
      <c r="K1049" s="4">
        <f t="shared" si="510"/>
        <v>1.2829680131599441E-3</v>
      </c>
      <c r="L1049" s="4">
        <f t="shared" si="510"/>
        <v>1.2829680131599441E-3</v>
      </c>
      <c r="M1049" s="4">
        <f t="shared" si="510"/>
        <v>1.2829680131599441E-3</v>
      </c>
      <c r="N1049" t="s">
        <v>256</v>
      </c>
      <c r="O1049" t="s">
        <v>353</v>
      </c>
      <c r="P1049" t="s">
        <v>351</v>
      </c>
      <c r="Q1049" s="4" t="s">
        <v>245</v>
      </c>
    </row>
    <row r="1050" spans="1:17" x14ac:dyDescent="0.25">
      <c r="A1050" t="s">
        <v>565</v>
      </c>
      <c r="B1050" t="s">
        <v>144</v>
      </c>
      <c r="C1050" s="4">
        <f t="shared" ref="C1050:M1050" si="511">(0.0181224344560457/(0.0328453630665826+0.350336698877979+0.0822572721273277+0.0181224344560457+0.178561789731549)) * 1.03271519227094%</f>
        <v>2.8265590538553649E-4</v>
      </c>
      <c r="D1050" s="4">
        <f t="shared" si="511"/>
        <v>2.8265590538553649E-4</v>
      </c>
      <c r="E1050" s="4">
        <f t="shared" si="511"/>
        <v>2.8265590538553649E-4</v>
      </c>
      <c r="F1050" s="4">
        <f t="shared" si="511"/>
        <v>2.8265590538553649E-4</v>
      </c>
      <c r="G1050" s="4">
        <f t="shared" si="511"/>
        <v>2.8265590538553649E-4</v>
      </c>
      <c r="H1050" s="4">
        <f t="shared" si="511"/>
        <v>2.8265590538553649E-4</v>
      </c>
      <c r="I1050" s="4">
        <f t="shared" si="511"/>
        <v>2.8265590538553649E-4</v>
      </c>
      <c r="J1050" s="4">
        <f t="shared" si="511"/>
        <v>2.8265590538553649E-4</v>
      </c>
      <c r="K1050" s="4">
        <f t="shared" si="511"/>
        <v>2.8265590538553649E-4</v>
      </c>
      <c r="L1050" s="4">
        <f t="shared" si="511"/>
        <v>2.8265590538553649E-4</v>
      </c>
      <c r="M1050" s="4">
        <f t="shared" si="511"/>
        <v>2.8265590538553649E-4</v>
      </c>
      <c r="N1050" t="s">
        <v>256</v>
      </c>
      <c r="O1050" t="s">
        <v>280</v>
      </c>
      <c r="P1050" t="s">
        <v>351</v>
      </c>
      <c r="Q1050" s="4" t="s">
        <v>245</v>
      </c>
    </row>
    <row r="1051" spans="1:17" x14ac:dyDescent="0.25">
      <c r="A1051" t="s">
        <v>565</v>
      </c>
      <c r="B1051" t="s">
        <v>144</v>
      </c>
      <c r="C1051" s="4">
        <f t="shared" ref="C1051:M1051" si="512">(0.178561789731549/(0.0328453630665826+0.350336698877979+0.0822572721273277+0.0181224344560457+0.178561789731549)) * 1.03271519227094%</f>
        <v>2.7850311428217257E-3</v>
      </c>
      <c r="D1051" s="4">
        <f t="shared" si="512"/>
        <v>2.7850311428217257E-3</v>
      </c>
      <c r="E1051" s="4">
        <f t="shared" si="512"/>
        <v>2.7850311428217257E-3</v>
      </c>
      <c r="F1051" s="4">
        <f t="shared" si="512"/>
        <v>2.7850311428217257E-3</v>
      </c>
      <c r="G1051" s="4">
        <f t="shared" si="512"/>
        <v>2.7850311428217257E-3</v>
      </c>
      <c r="H1051" s="4">
        <f t="shared" si="512"/>
        <v>2.7850311428217257E-3</v>
      </c>
      <c r="I1051" s="4">
        <f t="shared" si="512"/>
        <v>2.7850311428217257E-3</v>
      </c>
      <c r="J1051" s="4">
        <f t="shared" si="512"/>
        <v>2.7850311428217257E-3</v>
      </c>
      <c r="K1051" s="4">
        <f t="shared" si="512"/>
        <v>2.7850311428217257E-3</v>
      </c>
      <c r="L1051" s="4">
        <f t="shared" si="512"/>
        <v>2.7850311428217257E-3</v>
      </c>
      <c r="M1051" s="4">
        <f t="shared" si="512"/>
        <v>2.7850311428217257E-3</v>
      </c>
      <c r="N1051" t="s">
        <v>256</v>
      </c>
      <c r="O1051" t="s">
        <v>354</v>
      </c>
      <c r="P1051" t="s">
        <v>351</v>
      </c>
      <c r="Q1051" s="4" t="s">
        <v>245</v>
      </c>
    </row>
    <row r="1052" spans="1:17" x14ac:dyDescent="0.25">
      <c r="A1052" t="s">
        <v>565</v>
      </c>
      <c r="B1052" t="s">
        <v>165</v>
      </c>
      <c r="C1052" s="4">
        <f t="shared" ref="C1052:M1052" si="513">(0.0328453630665826/(0.0328453630665826+0.350336698877979+0.0822572721273277+0.0181224344560457+0.178561789731549)) * 0.0269043675480375%</f>
        <v>1.3346205691804757E-5</v>
      </c>
      <c r="D1052" s="4">
        <f t="shared" si="513"/>
        <v>1.3346205691804757E-5</v>
      </c>
      <c r="E1052" s="4">
        <f t="shared" si="513"/>
        <v>1.3346205691804757E-5</v>
      </c>
      <c r="F1052" s="4">
        <f t="shared" si="513"/>
        <v>1.3346205691804757E-5</v>
      </c>
      <c r="G1052" s="4">
        <f t="shared" si="513"/>
        <v>1.3346205691804757E-5</v>
      </c>
      <c r="H1052" s="4">
        <f t="shared" si="513"/>
        <v>1.3346205691804757E-5</v>
      </c>
      <c r="I1052" s="4">
        <f t="shared" si="513"/>
        <v>1.3346205691804757E-5</v>
      </c>
      <c r="J1052" s="4">
        <f t="shared" si="513"/>
        <v>1.3346205691804757E-5</v>
      </c>
      <c r="K1052" s="4">
        <f t="shared" si="513"/>
        <v>1.3346205691804757E-5</v>
      </c>
      <c r="L1052" s="4">
        <f t="shared" si="513"/>
        <v>1.3346205691804757E-5</v>
      </c>
      <c r="M1052" s="4">
        <f t="shared" si="513"/>
        <v>1.3346205691804757E-5</v>
      </c>
      <c r="N1052" t="s">
        <v>242</v>
      </c>
      <c r="O1052" t="s">
        <v>358</v>
      </c>
      <c r="P1052" t="s">
        <v>351</v>
      </c>
      <c r="Q1052" s="4" t="s">
        <v>245</v>
      </c>
    </row>
    <row r="1053" spans="1:17" x14ac:dyDescent="0.25">
      <c r="A1053" t="s">
        <v>565</v>
      </c>
      <c r="B1053" t="s">
        <v>165</v>
      </c>
      <c r="C1053" s="4">
        <f t="shared" ref="C1053:M1053" si="514">(0.350336698877979/(0.0328453630665826+0.350336698877979+0.0822572721273277+0.0181224344560457+0.178561789731549)) * 0.0269043675480375%</f>
        <v>1.4235390350641214E-4</v>
      </c>
      <c r="D1053" s="4">
        <f t="shared" si="514"/>
        <v>1.4235390350641214E-4</v>
      </c>
      <c r="E1053" s="4">
        <f t="shared" si="514"/>
        <v>1.4235390350641214E-4</v>
      </c>
      <c r="F1053" s="4">
        <f t="shared" si="514"/>
        <v>1.4235390350641214E-4</v>
      </c>
      <c r="G1053" s="4">
        <f t="shared" si="514"/>
        <v>1.4235390350641214E-4</v>
      </c>
      <c r="H1053" s="4">
        <f t="shared" si="514"/>
        <v>1.4235390350641214E-4</v>
      </c>
      <c r="I1053" s="4">
        <f t="shared" si="514"/>
        <v>1.4235390350641214E-4</v>
      </c>
      <c r="J1053" s="4">
        <f t="shared" si="514"/>
        <v>1.4235390350641214E-4</v>
      </c>
      <c r="K1053" s="4">
        <f t="shared" si="514"/>
        <v>1.4235390350641214E-4</v>
      </c>
      <c r="L1053" s="4">
        <f t="shared" si="514"/>
        <v>1.4235390350641214E-4</v>
      </c>
      <c r="M1053" s="4">
        <f t="shared" si="514"/>
        <v>1.4235390350641214E-4</v>
      </c>
      <c r="N1053" t="s">
        <v>256</v>
      </c>
      <c r="O1053" t="s">
        <v>356</v>
      </c>
      <c r="P1053" t="s">
        <v>351</v>
      </c>
      <c r="Q1053" s="4" t="s">
        <v>245</v>
      </c>
    </row>
    <row r="1054" spans="1:17" x14ac:dyDescent="0.25">
      <c r="A1054" t="s">
        <v>565</v>
      </c>
      <c r="B1054" t="s">
        <v>165</v>
      </c>
      <c r="C1054" s="4">
        <f t="shared" ref="C1054:M1054" si="515">(0.0822572721273277/(0.0328453630665826+0.350336698877979+0.0822572721273277+0.0181224344560457+0.178561789731549)) * 0.0269043675480375%</f>
        <v>3.3423971329914018E-5</v>
      </c>
      <c r="D1054" s="4">
        <f t="shared" si="515"/>
        <v>3.3423971329914018E-5</v>
      </c>
      <c r="E1054" s="4">
        <f t="shared" si="515"/>
        <v>3.3423971329914018E-5</v>
      </c>
      <c r="F1054" s="4">
        <f t="shared" si="515"/>
        <v>3.3423971329914018E-5</v>
      </c>
      <c r="G1054" s="4">
        <f t="shared" si="515"/>
        <v>3.3423971329914018E-5</v>
      </c>
      <c r="H1054" s="4">
        <f t="shared" si="515"/>
        <v>3.3423971329914018E-5</v>
      </c>
      <c r="I1054" s="4">
        <f t="shared" si="515"/>
        <v>3.3423971329914018E-5</v>
      </c>
      <c r="J1054" s="4">
        <f t="shared" si="515"/>
        <v>3.3423971329914018E-5</v>
      </c>
      <c r="K1054" s="4">
        <f t="shared" si="515"/>
        <v>3.3423971329914018E-5</v>
      </c>
      <c r="L1054" s="4">
        <f t="shared" si="515"/>
        <v>3.3423971329914018E-5</v>
      </c>
      <c r="M1054" s="4">
        <f t="shared" si="515"/>
        <v>3.3423971329914018E-5</v>
      </c>
      <c r="N1054" t="s">
        <v>256</v>
      </c>
      <c r="O1054" t="s">
        <v>353</v>
      </c>
      <c r="P1054" t="s">
        <v>351</v>
      </c>
      <c r="Q1054" s="4" t="s">
        <v>245</v>
      </c>
    </row>
    <row r="1055" spans="1:17" x14ac:dyDescent="0.25">
      <c r="A1055" t="s">
        <v>565</v>
      </c>
      <c r="B1055" t="s">
        <v>165</v>
      </c>
      <c r="C1055" s="4">
        <f t="shared" ref="C1055:M1055" si="516">(0.0181224344560457/(0.0328453630665826+0.350336698877979+0.0822572721273277+0.0181224344560457+0.178561789731549)) * 0.0269043675480375%</f>
        <v>7.3637711781823424E-6</v>
      </c>
      <c r="D1055" s="4">
        <f t="shared" si="516"/>
        <v>7.3637711781823424E-6</v>
      </c>
      <c r="E1055" s="4">
        <f t="shared" si="516"/>
        <v>7.3637711781823424E-6</v>
      </c>
      <c r="F1055" s="4">
        <f t="shared" si="516"/>
        <v>7.3637711781823424E-6</v>
      </c>
      <c r="G1055" s="4">
        <f t="shared" si="516"/>
        <v>7.3637711781823424E-6</v>
      </c>
      <c r="H1055" s="4">
        <f t="shared" si="516"/>
        <v>7.3637711781823424E-6</v>
      </c>
      <c r="I1055" s="4">
        <f t="shared" si="516"/>
        <v>7.3637711781823424E-6</v>
      </c>
      <c r="J1055" s="4">
        <f t="shared" si="516"/>
        <v>7.3637711781823424E-6</v>
      </c>
      <c r="K1055" s="4">
        <f t="shared" si="516"/>
        <v>7.3637711781823424E-6</v>
      </c>
      <c r="L1055" s="4">
        <f t="shared" si="516"/>
        <v>7.3637711781823424E-6</v>
      </c>
      <c r="M1055" s="4">
        <f t="shared" si="516"/>
        <v>7.3637711781823424E-6</v>
      </c>
      <c r="N1055" t="s">
        <v>256</v>
      </c>
      <c r="O1055" t="s">
        <v>280</v>
      </c>
      <c r="P1055" t="s">
        <v>351</v>
      </c>
      <c r="Q1055" s="4" t="s">
        <v>245</v>
      </c>
    </row>
    <row r="1056" spans="1:17" x14ac:dyDescent="0.25">
      <c r="A1056" t="s">
        <v>565</v>
      </c>
      <c r="B1056" t="s">
        <v>165</v>
      </c>
      <c r="C1056" s="4">
        <f t="shared" ref="C1056:M1056" si="517">(0.178561789731549/(0.0328453630665826+0.350336698877979+0.0822572721273277+0.0181224344560457+0.178561789731549)) * 0.0269043675480375%</f>
        <v>7.255582377406174E-5</v>
      </c>
      <c r="D1056" s="4">
        <f t="shared" si="517"/>
        <v>7.255582377406174E-5</v>
      </c>
      <c r="E1056" s="4">
        <f t="shared" si="517"/>
        <v>7.255582377406174E-5</v>
      </c>
      <c r="F1056" s="4">
        <f t="shared" si="517"/>
        <v>7.255582377406174E-5</v>
      </c>
      <c r="G1056" s="4">
        <f t="shared" si="517"/>
        <v>7.255582377406174E-5</v>
      </c>
      <c r="H1056" s="4">
        <f t="shared" si="517"/>
        <v>7.255582377406174E-5</v>
      </c>
      <c r="I1056" s="4">
        <f t="shared" si="517"/>
        <v>7.255582377406174E-5</v>
      </c>
      <c r="J1056" s="4">
        <f t="shared" si="517"/>
        <v>7.255582377406174E-5</v>
      </c>
      <c r="K1056" s="4">
        <f t="shared" si="517"/>
        <v>7.255582377406174E-5</v>
      </c>
      <c r="L1056" s="4">
        <f t="shared" si="517"/>
        <v>7.255582377406174E-5</v>
      </c>
      <c r="M1056" s="4">
        <f t="shared" si="517"/>
        <v>7.255582377406174E-5</v>
      </c>
      <c r="N1056" t="s">
        <v>256</v>
      </c>
      <c r="O1056" t="s">
        <v>354</v>
      </c>
      <c r="P1056" t="s">
        <v>351</v>
      </c>
      <c r="Q1056" s="4" t="s">
        <v>245</v>
      </c>
    </row>
    <row r="1057" spans="1:17" x14ac:dyDescent="0.25">
      <c r="A1057" t="s">
        <v>565</v>
      </c>
      <c r="B1057" t="s">
        <v>85</v>
      </c>
      <c r="C1057" s="4">
        <f t="shared" ref="C1057:M1057" si="518">(0.0328453630665826/(0.0328453630665826+0.350336698877979+0.0822572721273277+0.0181224344560457+0.178561789731549)) * 2.48477906966856%</f>
        <v>1.2326018258290872E-3</v>
      </c>
      <c r="D1057" s="4">
        <f t="shared" si="518"/>
        <v>1.2326018258290872E-3</v>
      </c>
      <c r="E1057" s="4">
        <f t="shared" si="518"/>
        <v>1.2326018258290872E-3</v>
      </c>
      <c r="F1057" s="4">
        <f t="shared" si="518"/>
        <v>1.2326018258290872E-3</v>
      </c>
      <c r="G1057" s="4">
        <f t="shared" si="518"/>
        <v>1.2326018258290872E-3</v>
      </c>
      <c r="H1057" s="4">
        <f t="shared" si="518"/>
        <v>1.2326018258290872E-3</v>
      </c>
      <c r="I1057" s="4">
        <f t="shared" si="518"/>
        <v>1.2326018258290872E-3</v>
      </c>
      <c r="J1057" s="4">
        <f t="shared" si="518"/>
        <v>1.2326018258290872E-3</v>
      </c>
      <c r="K1057" s="4">
        <f t="shared" si="518"/>
        <v>1.2326018258290872E-3</v>
      </c>
      <c r="L1057" s="4">
        <f t="shared" si="518"/>
        <v>1.2326018258290872E-3</v>
      </c>
      <c r="M1057" s="4">
        <f t="shared" si="518"/>
        <v>1.2326018258290872E-3</v>
      </c>
      <c r="N1057" t="s">
        <v>242</v>
      </c>
      <c r="O1057" t="s">
        <v>358</v>
      </c>
      <c r="P1057" t="s">
        <v>351</v>
      </c>
      <c r="Q1057" s="4" t="s">
        <v>245</v>
      </c>
    </row>
    <row r="1058" spans="1:17" x14ac:dyDescent="0.25">
      <c r="A1058" t="s">
        <v>565</v>
      </c>
      <c r="B1058" t="s">
        <v>85</v>
      </c>
      <c r="C1058" s="4">
        <f t="shared" ref="C1058:M1058" si="519">(0.350336698877979/(0.0328453630665826+0.350336698877979+0.0822572721273277+0.0181224344560457+0.178561789731549)) * 2.48477906966856%</f>
        <v>1.3147233410589954E-2</v>
      </c>
      <c r="D1058" s="4">
        <f t="shared" si="519"/>
        <v>1.3147233410589954E-2</v>
      </c>
      <c r="E1058" s="4">
        <f t="shared" si="519"/>
        <v>1.3147233410589954E-2</v>
      </c>
      <c r="F1058" s="4">
        <f t="shared" si="519"/>
        <v>1.3147233410589954E-2</v>
      </c>
      <c r="G1058" s="4">
        <f t="shared" si="519"/>
        <v>1.3147233410589954E-2</v>
      </c>
      <c r="H1058" s="4">
        <f t="shared" si="519"/>
        <v>1.3147233410589954E-2</v>
      </c>
      <c r="I1058" s="4">
        <f t="shared" si="519"/>
        <v>1.3147233410589954E-2</v>
      </c>
      <c r="J1058" s="4">
        <f t="shared" si="519"/>
        <v>1.3147233410589954E-2</v>
      </c>
      <c r="K1058" s="4">
        <f t="shared" si="519"/>
        <v>1.3147233410589954E-2</v>
      </c>
      <c r="L1058" s="4">
        <f t="shared" si="519"/>
        <v>1.3147233410589954E-2</v>
      </c>
      <c r="M1058" s="4">
        <f t="shared" si="519"/>
        <v>1.3147233410589954E-2</v>
      </c>
      <c r="N1058" t="s">
        <v>256</v>
      </c>
      <c r="O1058" t="s">
        <v>356</v>
      </c>
      <c r="P1058" t="s">
        <v>351</v>
      </c>
      <c r="Q1058" s="4" t="s">
        <v>245</v>
      </c>
    </row>
    <row r="1059" spans="1:17" x14ac:dyDescent="0.25">
      <c r="A1059" t="s">
        <v>565</v>
      </c>
      <c r="B1059" t="s">
        <v>85</v>
      </c>
      <c r="C1059" s="4">
        <f t="shared" ref="C1059:M1059" si="520">(0.0822572721273277/(0.0328453630665826+0.350336698877979+0.0822572721273277+0.0181224344560457+0.178561789731549)) * 2.48477906966856%</f>
        <v>3.0869034270173887E-3</v>
      </c>
      <c r="D1059" s="4">
        <f t="shared" si="520"/>
        <v>3.0869034270173887E-3</v>
      </c>
      <c r="E1059" s="4">
        <f t="shared" si="520"/>
        <v>3.0869034270173887E-3</v>
      </c>
      <c r="F1059" s="4">
        <f t="shared" si="520"/>
        <v>3.0869034270173887E-3</v>
      </c>
      <c r="G1059" s="4">
        <f t="shared" si="520"/>
        <v>3.0869034270173887E-3</v>
      </c>
      <c r="H1059" s="4">
        <f t="shared" si="520"/>
        <v>3.0869034270173887E-3</v>
      </c>
      <c r="I1059" s="4">
        <f t="shared" si="520"/>
        <v>3.0869034270173887E-3</v>
      </c>
      <c r="J1059" s="4">
        <f t="shared" si="520"/>
        <v>3.0869034270173887E-3</v>
      </c>
      <c r="K1059" s="4">
        <f t="shared" si="520"/>
        <v>3.0869034270173887E-3</v>
      </c>
      <c r="L1059" s="4">
        <f t="shared" si="520"/>
        <v>3.0869034270173887E-3</v>
      </c>
      <c r="M1059" s="4">
        <f t="shared" si="520"/>
        <v>3.0869034270173887E-3</v>
      </c>
      <c r="N1059" t="s">
        <v>256</v>
      </c>
      <c r="O1059" t="s">
        <v>353</v>
      </c>
      <c r="P1059" t="s">
        <v>351</v>
      </c>
      <c r="Q1059" s="4" t="s">
        <v>245</v>
      </c>
    </row>
    <row r="1060" spans="1:17" x14ac:dyDescent="0.25">
      <c r="A1060" t="s">
        <v>565</v>
      </c>
      <c r="B1060" t="s">
        <v>85</v>
      </c>
      <c r="C1060" s="4">
        <f t="shared" ref="C1060:M1060" si="521">(0.0181224344560457/(0.0328453630665826+0.350336698877979+0.0822572721273277+0.0181224344560457+0.178561789731549)) * 2.48477906966856%</f>
        <v>6.800882594510478E-4</v>
      </c>
      <c r="D1060" s="4">
        <f t="shared" si="521"/>
        <v>6.800882594510478E-4</v>
      </c>
      <c r="E1060" s="4">
        <f t="shared" si="521"/>
        <v>6.800882594510478E-4</v>
      </c>
      <c r="F1060" s="4">
        <f t="shared" si="521"/>
        <v>6.800882594510478E-4</v>
      </c>
      <c r="G1060" s="4">
        <f t="shared" si="521"/>
        <v>6.800882594510478E-4</v>
      </c>
      <c r="H1060" s="4">
        <f t="shared" si="521"/>
        <v>6.800882594510478E-4</v>
      </c>
      <c r="I1060" s="4">
        <f t="shared" si="521"/>
        <v>6.800882594510478E-4</v>
      </c>
      <c r="J1060" s="4">
        <f t="shared" si="521"/>
        <v>6.800882594510478E-4</v>
      </c>
      <c r="K1060" s="4">
        <f t="shared" si="521"/>
        <v>6.800882594510478E-4</v>
      </c>
      <c r="L1060" s="4">
        <f t="shared" si="521"/>
        <v>6.800882594510478E-4</v>
      </c>
      <c r="M1060" s="4">
        <f t="shared" si="521"/>
        <v>6.800882594510478E-4</v>
      </c>
      <c r="N1060" t="s">
        <v>256</v>
      </c>
      <c r="O1060" t="s">
        <v>280</v>
      </c>
      <c r="P1060" t="s">
        <v>351</v>
      </c>
      <c r="Q1060" s="4" t="s">
        <v>245</v>
      </c>
    </row>
    <row r="1061" spans="1:17" x14ac:dyDescent="0.25">
      <c r="A1061" t="s">
        <v>565</v>
      </c>
      <c r="B1061" t="s">
        <v>85</v>
      </c>
      <c r="C1061" s="4">
        <f t="shared" ref="C1061:M1061" si="522">(0.178561789731549/(0.0328453630665826+0.350336698877979+0.0822572721273277+0.0181224344560457+0.178561789731549)) * 2.48477906966856%</f>
        <v>6.7009637737981236E-3</v>
      </c>
      <c r="D1061" s="4">
        <f t="shared" si="522"/>
        <v>6.7009637737981236E-3</v>
      </c>
      <c r="E1061" s="4">
        <f t="shared" si="522"/>
        <v>6.7009637737981236E-3</v>
      </c>
      <c r="F1061" s="4">
        <f t="shared" si="522"/>
        <v>6.7009637737981236E-3</v>
      </c>
      <c r="G1061" s="4">
        <f t="shared" si="522"/>
        <v>6.7009637737981236E-3</v>
      </c>
      <c r="H1061" s="4">
        <f t="shared" si="522"/>
        <v>6.7009637737981236E-3</v>
      </c>
      <c r="I1061" s="4">
        <f t="shared" si="522"/>
        <v>6.7009637737981236E-3</v>
      </c>
      <c r="J1061" s="4">
        <f t="shared" si="522"/>
        <v>6.7009637737981236E-3</v>
      </c>
      <c r="K1061" s="4">
        <f t="shared" si="522"/>
        <v>6.7009637737981236E-3</v>
      </c>
      <c r="L1061" s="4">
        <f t="shared" si="522"/>
        <v>6.7009637737981236E-3</v>
      </c>
      <c r="M1061" s="4">
        <f t="shared" si="522"/>
        <v>6.7009637737981236E-3</v>
      </c>
      <c r="N1061" t="s">
        <v>256</v>
      </c>
      <c r="O1061" t="s">
        <v>354</v>
      </c>
      <c r="P1061" t="s">
        <v>351</v>
      </c>
      <c r="Q1061" s="4" t="s">
        <v>245</v>
      </c>
    </row>
    <row r="1062" spans="1:17" x14ac:dyDescent="0.25">
      <c r="A1062" t="s">
        <v>565</v>
      </c>
      <c r="B1062" t="s">
        <v>147</v>
      </c>
      <c r="C1062" s="4">
        <f t="shared" ref="C1062:M1062" si="523">(0.0328453630665826/(0.0328453630665826+0.350336698877979+0.0822572721273277+0.0181224344560457+0.178561789731549)) * 0.254002318684857%</f>
        <v>1.2600062741897536E-4</v>
      </c>
      <c r="D1062" s="4">
        <f t="shared" si="523"/>
        <v>1.2600062741897536E-4</v>
      </c>
      <c r="E1062" s="4">
        <f t="shared" si="523"/>
        <v>1.2600062741897536E-4</v>
      </c>
      <c r="F1062" s="4">
        <f t="shared" si="523"/>
        <v>1.2600062741897536E-4</v>
      </c>
      <c r="G1062" s="4">
        <f t="shared" si="523"/>
        <v>1.2600062741897536E-4</v>
      </c>
      <c r="H1062" s="4">
        <f t="shared" si="523"/>
        <v>1.2600062741897536E-4</v>
      </c>
      <c r="I1062" s="4">
        <f t="shared" si="523"/>
        <v>1.2600062741897536E-4</v>
      </c>
      <c r="J1062" s="4">
        <f t="shared" si="523"/>
        <v>1.2600062741897536E-4</v>
      </c>
      <c r="K1062" s="4">
        <f t="shared" si="523"/>
        <v>1.2600062741897536E-4</v>
      </c>
      <c r="L1062" s="4">
        <f t="shared" si="523"/>
        <v>1.2600062741897536E-4</v>
      </c>
      <c r="M1062" s="4">
        <f t="shared" si="523"/>
        <v>1.2600062741897536E-4</v>
      </c>
      <c r="N1062" t="s">
        <v>242</v>
      </c>
      <c r="O1062" t="s">
        <v>358</v>
      </c>
      <c r="P1062" t="s">
        <v>351</v>
      </c>
      <c r="Q1062" s="4" t="s">
        <v>245</v>
      </c>
    </row>
    <row r="1063" spans="1:17" x14ac:dyDescent="0.25">
      <c r="A1063" t="s">
        <v>565</v>
      </c>
      <c r="B1063" t="s">
        <v>147</v>
      </c>
      <c r="C1063" s="4">
        <f t="shared" ref="C1063:M1063" si="524">(0.350336698877979/(0.0328453630665826+0.350336698877979+0.0822572721273277+0.0181224344560457+0.178561789731549)) * 0.254002318684857%</f>
        <v>1.3439535978650645E-3</v>
      </c>
      <c r="D1063" s="4">
        <f t="shared" si="524"/>
        <v>1.3439535978650645E-3</v>
      </c>
      <c r="E1063" s="4">
        <f t="shared" si="524"/>
        <v>1.3439535978650645E-3</v>
      </c>
      <c r="F1063" s="4">
        <f t="shared" si="524"/>
        <v>1.3439535978650645E-3</v>
      </c>
      <c r="G1063" s="4">
        <f t="shared" si="524"/>
        <v>1.3439535978650645E-3</v>
      </c>
      <c r="H1063" s="4">
        <f t="shared" si="524"/>
        <v>1.3439535978650645E-3</v>
      </c>
      <c r="I1063" s="4">
        <f t="shared" si="524"/>
        <v>1.3439535978650645E-3</v>
      </c>
      <c r="J1063" s="4">
        <f t="shared" si="524"/>
        <v>1.3439535978650645E-3</v>
      </c>
      <c r="K1063" s="4">
        <f t="shared" si="524"/>
        <v>1.3439535978650645E-3</v>
      </c>
      <c r="L1063" s="4">
        <f t="shared" si="524"/>
        <v>1.3439535978650645E-3</v>
      </c>
      <c r="M1063" s="4">
        <f t="shared" si="524"/>
        <v>1.3439535978650645E-3</v>
      </c>
      <c r="N1063" t="s">
        <v>256</v>
      </c>
      <c r="O1063" t="s">
        <v>356</v>
      </c>
      <c r="P1063" t="s">
        <v>351</v>
      </c>
      <c r="Q1063" s="4" t="s">
        <v>245</v>
      </c>
    </row>
    <row r="1064" spans="1:17" x14ac:dyDescent="0.25">
      <c r="A1064" t="s">
        <v>565</v>
      </c>
      <c r="B1064" t="s">
        <v>147</v>
      </c>
      <c r="C1064" s="4">
        <f t="shared" ref="C1064:M1064" si="525">(0.0822572721273277/(0.0328453630665826+0.350336698877979+0.0822572721273277+0.0181224344560457+0.178561789731549)) * 0.254002318684857%</f>
        <v>3.1555345808802031E-4</v>
      </c>
      <c r="D1064" s="4">
        <f t="shared" si="525"/>
        <v>3.1555345808802031E-4</v>
      </c>
      <c r="E1064" s="4">
        <f t="shared" si="525"/>
        <v>3.1555345808802031E-4</v>
      </c>
      <c r="F1064" s="4">
        <f t="shared" si="525"/>
        <v>3.1555345808802031E-4</v>
      </c>
      <c r="G1064" s="4">
        <f t="shared" si="525"/>
        <v>3.1555345808802031E-4</v>
      </c>
      <c r="H1064" s="4">
        <f t="shared" si="525"/>
        <v>3.1555345808802031E-4</v>
      </c>
      <c r="I1064" s="4">
        <f t="shared" si="525"/>
        <v>3.1555345808802031E-4</v>
      </c>
      <c r="J1064" s="4">
        <f t="shared" si="525"/>
        <v>3.1555345808802031E-4</v>
      </c>
      <c r="K1064" s="4">
        <f t="shared" si="525"/>
        <v>3.1555345808802031E-4</v>
      </c>
      <c r="L1064" s="4">
        <f t="shared" si="525"/>
        <v>3.1555345808802031E-4</v>
      </c>
      <c r="M1064" s="4">
        <f t="shared" si="525"/>
        <v>3.1555345808802031E-4</v>
      </c>
      <c r="N1064" t="s">
        <v>256</v>
      </c>
      <c r="O1064" t="s">
        <v>353</v>
      </c>
      <c r="P1064" t="s">
        <v>351</v>
      </c>
      <c r="Q1064" s="4" t="s">
        <v>245</v>
      </c>
    </row>
    <row r="1065" spans="1:17" x14ac:dyDescent="0.25">
      <c r="A1065" t="s">
        <v>565</v>
      </c>
      <c r="B1065" t="s">
        <v>147</v>
      </c>
      <c r="C1065" s="4">
        <f t="shared" ref="C1065:M1065" si="526">(0.0181224344560457/(0.0328453630665826+0.350336698877979+0.0822572721273277+0.0181224344560457+0.178561789731549)) * 0.254002318684857%</f>
        <v>6.9520866832622173E-5</v>
      </c>
      <c r="D1065" s="4">
        <f t="shared" si="526"/>
        <v>6.9520866832622173E-5</v>
      </c>
      <c r="E1065" s="4">
        <f t="shared" si="526"/>
        <v>6.9520866832622173E-5</v>
      </c>
      <c r="F1065" s="4">
        <f t="shared" si="526"/>
        <v>6.9520866832622173E-5</v>
      </c>
      <c r="G1065" s="4">
        <f t="shared" si="526"/>
        <v>6.9520866832622173E-5</v>
      </c>
      <c r="H1065" s="4">
        <f t="shared" si="526"/>
        <v>6.9520866832622173E-5</v>
      </c>
      <c r="I1065" s="4">
        <f t="shared" si="526"/>
        <v>6.9520866832622173E-5</v>
      </c>
      <c r="J1065" s="4">
        <f t="shared" si="526"/>
        <v>6.9520866832622173E-5</v>
      </c>
      <c r="K1065" s="4">
        <f t="shared" si="526"/>
        <v>6.9520866832622173E-5</v>
      </c>
      <c r="L1065" s="4">
        <f t="shared" si="526"/>
        <v>6.9520866832622173E-5</v>
      </c>
      <c r="M1065" s="4">
        <f t="shared" si="526"/>
        <v>6.9520866832622173E-5</v>
      </c>
      <c r="N1065" t="s">
        <v>256</v>
      </c>
      <c r="O1065" t="s">
        <v>280</v>
      </c>
      <c r="P1065" t="s">
        <v>351</v>
      </c>
      <c r="Q1065" s="4" t="s">
        <v>245</v>
      </c>
    </row>
    <row r="1066" spans="1:17" x14ac:dyDescent="0.25">
      <c r="A1066" t="s">
        <v>565</v>
      </c>
      <c r="B1066" t="s">
        <v>147</v>
      </c>
      <c r="C1066" s="4">
        <f t="shared" ref="C1066:M1066" si="527">(0.178561789731549/(0.0328453630665826+0.350336698877979+0.0822572721273277+0.0181224344560457+0.178561789731549)) * 0.254002318684857%</f>
        <v>6.8499463664388797E-4</v>
      </c>
      <c r="D1066" s="4">
        <f t="shared" si="527"/>
        <v>6.8499463664388797E-4</v>
      </c>
      <c r="E1066" s="4">
        <f t="shared" si="527"/>
        <v>6.8499463664388797E-4</v>
      </c>
      <c r="F1066" s="4">
        <f t="shared" si="527"/>
        <v>6.8499463664388797E-4</v>
      </c>
      <c r="G1066" s="4">
        <f t="shared" si="527"/>
        <v>6.8499463664388797E-4</v>
      </c>
      <c r="H1066" s="4">
        <f t="shared" si="527"/>
        <v>6.8499463664388797E-4</v>
      </c>
      <c r="I1066" s="4">
        <f t="shared" si="527"/>
        <v>6.8499463664388797E-4</v>
      </c>
      <c r="J1066" s="4">
        <f t="shared" si="527"/>
        <v>6.8499463664388797E-4</v>
      </c>
      <c r="K1066" s="4">
        <f t="shared" si="527"/>
        <v>6.8499463664388797E-4</v>
      </c>
      <c r="L1066" s="4">
        <f t="shared" si="527"/>
        <v>6.8499463664388797E-4</v>
      </c>
      <c r="M1066" s="4">
        <f t="shared" si="527"/>
        <v>6.8499463664388797E-4</v>
      </c>
      <c r="N1066" t="s">
        <v>256</v>
      </c>
      <c r="O1066" t="s">
        <v>354</v>
      </c>
      <c r="P1066" t="s">
        <v>351</v>
      </c>
      <c r="Q1066" s="4" t="s">
        <v>245</v>
      </c>
    </row>
    <row r="1067" spans="1:17" x14ac:dyDescent="0.25">
      <c r="A1067" t="s">
        <v>565</v>
      </c>
      <c r="B1067" t="s">
        <v>186</v>
      </c>
      <c r="C1067" s="4">
        <f t="shared" ref="C1067:M1067" si="528">(0.0328453630665826/(0.0328453630665826+0.350336698877979+0.0822572721273277+0.0181224344560457+0.178561789731549)) * 1.68448721668618%</f>
        <v>8.3560830184797744E-4</v>
      </c>
      <c r="D1067" s="4">
        <f t="shared" si="528"/>
        <v>8.3560830184797744E-4</v>
      </c>
      <c r="E1067" s="4">
        <f t="shared" si="528"/>
        <v>8.3560830184797744E-4</v>
      </c>
      <c r="F1067" s="4">
        <f t="shared" si="528"/>
        <v>8.3560830184797744E-4</v>
      </c>
      <c r="G1067" s="4">
        <f t="shared" si="528"/>
        <v>8.3560830184797744E-4</v>
      </c>
      <c r="H1067" s="4">
        <f t="shared" si="528"/>
        <v>8.3560830184797744E-4</v>
      </c>
      <c r="I1067" s="4">
        <f t="shared" si="528"/>
        <v>8.3560830184797744E-4</v>
      </c>
      <c r="J1067" s="4">
        <f t="shared" si="528"/>
        <v>8.3560830184797744E-4</v>
      </c>
      <c r="K1067" s="4">
        <f t="shared" si="528"/>
        <v>8.3560830184797744E-4</v>
      </c>
      <c r="L1067" s="4">
        <f t="shared" si="528"/>
        <v>8.3560830184797744E-4</v>
      </c>
      <c r="M1067" s="4">
        <f t="shared" si="528"/>
        <v>8.3560830184797744E-4</v>
      </c>
      <c r="N1067" t="s">
        <v>242</v>
      </c>
      <c r="O1067" t="s">
        <v>358</v>
      </c>
      <c r="P1067" t="s">
        <v>351</v>
      </c>
      <c r="Q1067" s="4" t="s">
        <v>245</v>
      </c>
    </row>
    <row r="1068" spans="1:17" x14ac:dyDescent="0.25">
      <c r="A1068" t="s">
        <v>565</v>
      </c>
      <c r="B1068" t="s">
        <v>186</v>
      </c>
      <c r="C1068" s="4">
        <f t="shared" ref="C1068:M1068" si="529">(0.350336698877979/(0.0328453630665826+0.350336698877979+0.0822572721273277+0.0181224344560457+0.178561789731549)) * 1.68448721668618%</f>
        <v>8.9128031080374006E-3</v>
      </c>
      <c r="D1068" s="4">
        <f t="shared" si="529"/>
        <v>8.9128031080374006E-3</v>
      </c>
      <c r="E1068" s="4">
        <f t="shared" si="529"/>
        <v>8.9128031080374006E-3</v>
      </c>
      <c r="F1068" s="4">
        <f t="shared" si="529"/>
        <v>8.9128031080374006E-3</v>
      </c>
      <c r="G1068" s="4">
        <f t="shared" si="529"/>
        <v>8.9128031080374006E-3</v>
      </c>
      <c r="H1068" s="4">
        <f t="shared" si="529"/>
        <v>8.9128031080374006E-3</v>
      </c>
      <c r="I1068" s="4">
        <f t="shared" si="529"/>
        <v>8.9128031080374006E-3</v>
      </c>
      <c r="J1068" s="4">
        <f t="shared" si="529"/>
        <v>8.9128031080374006E-3</v>
      </c>
      <c r="K1068" s="4">
        <f t="shared" si="529"/>
        <v>8.9128031080374006E-3</v>
      </c>
      <c r="L1068" s="4">
        <f t="shared" si="529"/>
        <v>8.9128031080374006E-3</v>
      </c>
      <c r="M1068" s="4">
        <f t="shared" si="529"/>
        <v>8.9128031080374006E-3</v>
      </c>
      <c r="N1068" t="s">
        <v>256</v>
      </c>
      <c r="O1068" t="s">
        <v>356</v>
      </c>
      <c r="P1068" t="s">
        <v>351</v>
      </c>
      <c r="Q1068" s="4" t="s">
        <v>245</v>
      </c>
    </row>
    <row r="1069" spans="1:17" x14ac:dyDescent="0.25">
      <c r="A1069" t="s">
        <v>565</v>
      </c>
      <c r="B1069" t="s">
        <v>186</v>
      </c>
      <c r="C1069" s="4">
        <f t="shared" ref="C1069:M1069" si="530">(0.0822572721273277/(0.0328453630665826+0.350336698877979+0.0822572721273277+0.0181224344560457+0.178561789731549)) * 1.68448721668618%</f>
        <v>2.0926807640283085E-3</v>
      </c>
      <c r="D1069" s="4">
        <f t="shared" si="530"/>
        <v>2.0926807640283085E-3</v>
      </c>
      <c r="E1069" s="4">
        <f t="shared" si="530"/>
        <v>2.0926807640283085E-3</v>
      </c>
      <c r="F1069" s="4">
        <f t="shared" si="530"/>
        <v>2.0926807640283085E-3</v>
      </c>
      <c r="G1069" s="4">
        <f t="shared" si="530"/>
        <v>2.0926807640283085E-3</v>
      </c>
      <c r="H1069" s="4">
        <f t="shared" si="530"/>
        <v>2.0926807640283085E-3</v>
      </c>
      <c r="I1069" s="4">
        <f t="shared" si="530"/>
        <v>2.0926807640283085E-3</v>
      </c>
      <c r="J1069" s="4">
        <f t="shared" si="530"/>
        <v>2.0926807640283085E-3</v>
      </c>
      <c r="K1069" s="4">
        <f t="shared" si="530"/>
        <v>2.0926807640283085E-3</v>
      </c>
      <c r="L1069" s="4">
        <f t="shared" si="530"/>
        <v>2.0926807640283085E-3</v>
      </c>
      <c r="M1069" s="4">
        <f t="shared" si="530"/>
        <v>2.0926807640283085E-3</v>
      </c>
      <c r="N1069" t="s">
        <v>256</v>
      </c>
      <c r="O1069" t="s">
        <v>353</v>
      </c>
      <c r="P1069" t="s">
        <v>351</v>
      </c>
      <c r="Q1069" s="4" t="s">
        <v>245</v>
      </c>
    </row>
    <row r="1070" spans="1:17" x14ac:dyDescent="0.25">
      <c r="A1070" t="s">
        <v>565</v>
      </c>
      <c r="B1070" t="s">
        <v>186</v>
      </c>
      <c r="C1070" s="4">
        <f t="shared" ref="C1070:M1070" si="531">(0.0181224344560457/(0.0328453630665826+0.350336698877979+0.0822572721273277+0.0181224344560457+0.178561789731549)) * 1.68448721668618%</f>
        <v>4.6104701751872596E-4</v>
      </c>
      <c r="D1070" s="4">
        <f t="shared" si="531"/>
        <v>4.6104701751872596E-4</v>
      </c>
      <c r="E1070" s="4">
        <f t="shared" si="531"/>
        <v>4.6104701751872596E-4</v>
      </c>
      <c r="F1070" s="4">
        <f t="shared" si="531"/>
        <v>4.6104701751872596E-4</v>
      </c>
      <c r="G1070" s="4">
        <f t="shared" si="531"/>
        <v>4.6104701751872596E-4</v>
      </c>
      <c r="H1070" s="4">
        <f t="shared" si="531"/>
        <v>4.6104701751872596E-4</v>
      </c>
      <c r="I1070" s="4">
        <f t="shared" si="531"/>
        <v>4.6104701751872596E-4</v>
      </c>
      <c r="J1070" s="4">
        <f t="shared" si="531"/>
        <v>4.6104701751872596E-4</v>
      </c>
      <c r="K1070" s="4">
        <f t="shared" si="531"/>
        <v>4.6104701751872596E-4</v>
      </c>
      <c r="L1070" s="4">
        <f t="shared" si="531"/>
        <v>4.6104701751872596E-4</v>
      </c>
      <c r="M1070" s="4">
        <f t="shared" si="531"/>
        <v>4.6104701751872596E-4</v>
      </c>
      <c r="N1070" t="s">
        <v>256</v>
      </c>
      <c r="O1070" t="s">
        <v>280</v>
      </c>
      <c r="P1070" t="s">
        <v>351</v>
      </c>
      <c r="Q1070" s="4" t="s">
        <v>245</v>
      </c>
    </row>
    <row r="1071" spans="1:17" x14ac:dyDescent="0.25">
      <c r="A1071" t="s">
        <v>565</v>
      </c>
      <c r="B1071" t="s">
        <v>186</v>
      </c>
      <c r="C1071" s="4">
        <f t="shared" ref="C1071:M1071" si="532">(0.178561789731549/(0.0328453630665826+0.350336698877979+0.0822572721273277+0.0181224344560457+0.178561789731549)) * 1.68448721668618%</f>
        <v>4.5427329754293873E-3</v>
      </c>
      <c r="D1071" s="4">
        <f t="shared" si="532"/>
        <v>4.5427329754293873E-3</v>
      </c>
      <c r="E1071" s="4">
        <f t="shared" si="532"/>
        <v>4.5427329754293873E-3</v>
      </c>
      <c r="F1071" s="4">
        <f t="shared" si="532"/>
        <v>4.5427329754293873E-3</v>
      </c>
      <c r="G1071" s="4">
        <f t="shared" si="532"/>
        <v>4.5427329754293873E-3</v>
      </c>
      <c r="H1071" s="4">
        <f t="shared" si="532"/>
        <v>4.5427329754293873E-3</v>
      </c>
      <c r="I1071" s="4">
        <f t="shared" si="532"/>
        <v>4.5427329754293873E-3</v>
      </c>
      <c r="J1071" s="4">
        <f t="shared" si="532"/>
        <v>4.5427329754293873E-3</v>
      </c>
      <c r="K1071" s="4">
        <f t="shared" si="532"/>
        <v>4.5427329754293873E-3</v>
      </c>
      <c r="L1071" s="4">
        <f t="shared" si="532"/>
        <v>4.5427329754293873E-3</v>
      </c>
      <c r="M1071" s="4">
        <f t="shared" si="532"/>
        <v>4.5427329754293873E-3</v>
      </c>
      <c r="N1071" t="s">
        <v>256</v>
      </c>
      <c r="O1071" t="s">
        <v>354</v>
      </c>
      <c r="P1071" t="s">
        <v>351</v>
      </c>
      <c r="Q1071" s="4" t="s">
        <v>245</v>
      </c>
    </row>
    <row r="1072" spans="1:17" x14ac:dyDescent="0.25">
      <c r="A1072" t="s">
        <v>565</v>
      </c>
      <c r="B1072" t="s">
        <v>187</v>
      </c>
      <c r="C1072" s="4">
        <f t="shared" ref="C1072:M1072" si="533">(0.0328453630665826/(0.0328453630665826+0.350336698877979+0.0822572721273277+0.0181224344560457+0.178561789731549)) * 0.0419095382405991%</f>
        <v>2.0789684678850318E-5</v>
      </c>
      <c r="D1072" s="4">
        <f t="shared" si="533"/>
        <v>2.0789684678850318E-5</v>
      </c>
      <c r="E1072" s="4">
        <f t="shared" si="533"/>
        <v>2.0789684678850318E-5</v>
      </c>
      <c r="F1072" s="4">
        <f t="shared" si="533"/>
        <v>2.0789684678850318E-5</v>
      </c>
      <c r="G1072" s="4">
        <f t="shared" si="533"/>
        <v>2.0789684678850318E-5</v>
      </c>
      <c r="H1072" s="4">
        <f t="shared" si="533"/>
        <v>2.0789684678850318E-5</v>
      </c>
      <c r="I1072" s="4">
        <f t="shared" si="533"/>
        <v>2.0789684678850318E-5</v>
      </c>
      <c r="J1072" s="4">
        <f t="shared" si="533"/>
        <v>2.0789684678850318E-5</v>
      </c>
      <c r="K1072" s="4">
        <f t="shared" si="533"/>
        <v>2.0789684678850318E-5</v>
      </c>
      <c r="L1072" s="4">
        <f t="shared" si="533"/>
        <v>2.0789684678850318E-5</v>
      </c>
      <c r="M1072" s="4">
        <f t="shared" si="533"/>
        <v>2.0789684678850318E-5</v>
      </c>
      <c r="N1072" t="s">
        <v>242</v>
      </c>
      <c r="O1072" t="s">
        <v>358</v>
      </c>
      <c r="P1072" t="s">
        <v>351</v>
      </c>
      <c r="Q1072" s="4" t="s">
        <v>245</v>
      </c>
    </row>
    <row r="1073" spans="1:18" x14ac:dyDescent="0.25">
      <c r="A1073" t="s">
        <v>565</v>
      </c>
      <c r="B1073" t="s">
        <v>187</v>
      </c>
      <c r="C1073" s="4">
        <f t="shared" ref="C1073:M1073" si="534">(0.350336698877979/(0.0328453630665826+0.350336698877979+0.0822572721273277+0.0181224344560457+0.178561789731549)) * 0.0419095382405991%</f>
        <v>2.2174787614123696E-4</v>
      </c>
      <c r="D1073" s="4">
        <f t="shared" si="534"/>
        <v>2.2174787614123696E-4</v>
      </c>
      <c r="E1073" s="4">
        <f t="shared" si="534"/>
        <v>2.2174787614123696E-4</v>
      </c>
      <c r="F1073" s="4">
        <f t="shared" si="534"/>
        <v>2.2174787614123696E-4</v>
      </c>
      <c r="G1073" s="4">
        <f t="shared" si="534"/>
        <v>2.2174787614123696E-4</v>
      </c>
      <c r="H1073" s="4">
        <f t="shared" si="534"/>
        <v>2.2174787614123696E-4</v>
      </c>
      <c r="I1073" s="4">
        <f t="shared" si="534"/>
        <v>2.2174787614123696E-4</v>
      </c>
      <c r="J1073" s="4">
        <f t="shared" si="534"/>
        <v>2.2174787614123696E-4</v>
      </c>
      <c r="K1073" s="4">
        <f t="shared" si="534"/>
        <v>2.2174787614123696E-4</v>
      </c>
      <c r="L1073" s="4">
        <f t="shared" si="534"/>
        <v>2.2174787614123696E-4</v>
      </c>
      <c r="M1073" s="4">
        <f t="shared" si="534"/>
        <v>2.2174787614123696E-4</v>
      </c>
      <c r="N1073" t="s">
        <v>256</v>
      </c>
      <c r="O1073" t="s">
        <v>356</v>
      </c>
      <c r="P1073" t="s">
        <v>351</v>
      </c>
      <c r="Q1073" s="4" t="s">
        <v>245</v>
      </c>
    </row>
    <row r="1074" spans="1:18" x14ac:dyDescent="0.25">
      <c r="A1074" t="s">
        <v>565</v>
      </c>
      <c r="B1074" t="s">
        <v>187</v>
      </c>
      <c r="C1074" s="4">
        <f t="shared" ref="C1074:M1074" si="535">(0.0822572721273277/(0.0328453630665826+0.350336698877979+0.0822572721273277+0.0181224344560457+0.178561789731549)) * 0.0419095382405991%</f>
        <v>5.2065271636756901E-5</v>
      </c>
      <c r="D1074" s="4">
        <f t="shared" si="535"/>
        <v>5.2065271636756901E-5</v>
      </c>
      <c r="E1074" s="4">
        <f t="shared" si="535"/>
        <v>5.2065271636756901E-5</v>
      </c>
      <c r="F1074" s="4">
        <f t="shared" si="535"/>
        <v>5.2065271636756901E-5</v>
      </c>
      <c r="G1074" s="4">
        <f t="shared" si="535"/>
        <v>5.2065271636756901E-5</v>
      </c>
      <c r="H1074" s="4">
        <f t="shared" si="535"/>
        <v>5.2065271636756901E-5</v>
      </c>
      <c r="I1074" s="4">
        <f t="shared" si="535"/>
        <v>5.2065271636756901E-5</v>
      </c>
      <c r="J1074" s="4">
        <f t="shared" si="535"/>
        <v>5.2065271636756901E-5</v>
      </c>
      <c r="K1074" s="4">
        <f t="shared" si="535"/>
        <v>5.2065271636756901E-5</v>
      </c>
      <c r="L1074" s="4">
        <f t="shared" si="535"/>
        <v>5.2065271636756901E-5</v>
      </c>
      <c r="M1074" s="4">
        <f t="shared" si="535"/>
        <v>5.2065271636756901E-5</v>
      </c>
      <c r="N1074" t="s">
        <v>256</v>
      </c>
      <c r="O1074" t="s">
        <v>353</v>
      </c>
      <c r="P1074" t="s">
        <v>351</v>
      </c>
      <c r="Q1074" s="4" t="s">
        <v>245</v>
      </c>
    </row>
    <row r="1075" spans="1:18" x14ac:dyDescent="0.25">
      <c r="A1075" t="s">
        <v>565</v>
      </c>
      <c r="B1075" t="s">
        <v>187</v>
      </c>
      <c r="C1075" s="4">
        <f t="shared" ref="C1075:M1075" si="536">(0.0181224344560457/(0.0328453630665826+0.350336698877979+0.0822572721273277+0.0181224344560457+0.178561789731549)) * 0.0419095382405991%</f>
        <v>1.147071192943042E-5</v>
      </c>
      <c r="D1075" s="4">
        <f t="shared" si="536"/>
        <v>1.147071192943042E-5</v>
      </c>
      <c r="E1075" s="4">
        <f t="shared" si="536"/>
        <v>1.147071192943042E-5</v>
      </c>
      <c r="F1075" s="4">
        <f t="shared" si="536"/>
        <v>1.147071192943042E-5</v>
      </c>
      <c r="G1075" s="4">
        <f t="shared" si="536"/>
        <v>1.147071192943042E-5</v>
      </c>
      <c r="H1075" s="4">
        <f t="shared" si="536"/>
        <v>1.147071192943042E-5</v>
      </c>
      <c r="I1075" s="4">
        <f t="shared" si="536"/>
        <v>1.147071192943042E-5</v>
      </c>
      <c r="J1075" s="4">
        <f t="shared" si="536"/>
        <v>1.147071192943042E-5</v>
      </c>
      <c r="K1075" s="4">
        <f t="shared" si="536"/>
        <v>1.147071192943042E-5</v>
      </c>
      <c r="L1075" s="4">
        <f t="shared" si="536"/>
        <v>1.147071192943042E-5</v>
      </c>
      <c r="M1075" s="4">
        <f t="shared" si="536"/>
        <v>1.147071192943042E-5</v>
      </c>
      <c r="N1075" t="s">
        <v>256</v>
      </c>
      <c r="O1075" t="s">
        <v>280</v>
      </c>
      <c r="P1075" t="s">
        <v>351</v>
      </c>
      <c r="Q1075" s="4" t="s">
        <v>245</v>
      </c>
    </row>
    <row r="1076" spans="1:18" x14ac:dyDescent="0.25">
      <c r="A1076" t="s">
        <v>565</v>
      </c>
      <c r="B1076" t="s">
        <v>187</v>
      </c>
      <c r="C1076" s="4">
        <f t="shared" ref="C1076:M1076" si="537">(0.178561789731549/(0.0328453630665826+0.350336698877979+0.0822572721273277+0.0181224344560457+0.178561789731549)) * 0.0419095382405991%</f>
        <v>1.1302183801971645E-4</v>
      </c>
      <c r="D1076" s="4">
        <f t="shared" si="537"/>
        <v>1.1302183801971645E-4</v>
      </c>
      <c r="E1076" s="4">
        <f t="shared" si="537"/>
        <v>1.1302183801971645E-4</v>
      </c>
      <c r="F1076" s="4">
        <f t="shared" si="537"/>
        <v>1.1302183801971645E-4</v>
      </c>
      <c r="G1076" s="4">
        <f t="shared" si="537"/>
        <v>1.1302183801971645E-4</v>
      </c>
      <c r="H1076" s="4">
        <f t="shared" si="537"/>
        <v>1.1302183801971645E-4</v>
      </c>
      <c r="I1076" s="4">
        <f t="shared" si="537"/>
        <v>1.1302183801971645E-4</v>
      </c>
      <c r="J1076" s="4">
        <f t="shared" si="537"/>
        <v>1.1302183801971645E-4</v>
      </c>
      <c r="K1076" s="4">
        <f t="shared" si="537"/>
        <v>1.1302183801971645E-4</v>
      </c>
      <c r="L1076" s="4">
        <f t="shared" si="537"/>
        <v>1.1302183801971645E-4</v>
      </c>
      <c r="M1076" s="4">
        <f t="shared" si="537"/>
        <v>1.1302183801971645E-4</v>
      </c>
      <c r="N1076" t="s">
        <v>256</v>
      </c>
      <c r="O1076" t="s">
        <v>354</v>
      </c>
      <c r="P1076" t="s">
        <v>351</v>
      </c>
      <c r="Q1076" s="4" t="s">
        <v>245</v>
      </c>
    </row>
    <row r="1077" spans="1:18" x14ac:dyDescent="0.25">
      <c r="A1077" t="s">
        <v>565</v>
      </c>
      <c r="B1077" t="s">
        <v>127</v>
      </c>
      <c r="C1077" s="4">
        <f t="shared" ref="C1077:M1077" si="538">(0.0328453630665826/(0.0328453630665826+0.350336698877979+0.0822572721273277+0.0181224344560457+0.178561789731549)) * 0.0146674337316358%</f>
        <v>7.2759408747969563E-6</v>
      </c>
      <c r="D1077" s="4">
        <f t="shared" si="538"/>
        <v>7.2759408747969563E-6</v>
      </c>
      <c r="E1077" s="4">
        <f t="shared" si="538"/>
        <v>7.2759408747969563E-6</v>
      </c>
      <c r="F1077" s="4">
        <f t="shared" si="538"/>
        <v>7.2759408747969563E-6</v>
      </c>
      <c r="G1077" s="4">
        <f t="shared" si="538"/>
        <v>7.2759408747969563E-6</v>
      </c>
      <c r="H1077" s="4">
        <f t="shared" si="538"/>
        <v>7.2759408747969563E-6</v>
      </c>
      <c r="I1077" s="4">
        <f t="shared" si="538"/>
        <v>7.2759408747969563E-6</v>
      </c>
      <c r="J1077" s="4">
        <f t="shared" si="538"/>
        <v>7.2759408747969563E-6</v>
      </c>
      <c r="K1077" s="4">
        <f t="shared" si="538"/>
        <v>7.2759408747969563E-6</v>
      </c>
      <c r="L1077" s="4">
        <f t="shared" si="538"/>
        <v>7.2759408747969563E-6</v>
      </c>
      <c r="M1077" s="4">
        <f t="shared" si="538"/>
        <v>7.2759408747969563E-6</v>
      </c>
      <c r="N1077" t="s">
        <v>242</v>
      </c>
      <c r="O1077" t="s">
        <v>358</v>
      </c>
      <c r="P1077" t="s">
        <v>351</v>
      </c>
      <c r="Q1077" s="4" t="s">
        <v>245</v>
      </c>
    </row>
    <row r="1078" spans="1:18" x14ac:dyDescent="0.25">
      <c r="A1078" t="s">
        <v>565</v>
      </c>
      <c r="B1078" t="s">
        <v>127</v>
      </c>
      <c r="C1078" s="4">
        <f t="shared" ref="C1078:M1078" si="539">(0.350336698877979/(0.0328453630665826+0.350336698877979+0.0822572721273277+0.0181224344560457+0.178561789731549)) * 0.0146674337316358%</f>
        <v>7.7606970035327253E-5</v>
      </c>
      <c r="D1078" s="4">
        <f t="shared" si="539"/>
        <v>7.7606970035327253E-5</v>
      </c>
      <c r="E1078" s="4">
        <f t="shared" si="539"/>
        <v>7.7606970035327253E-5</v>
      </c>
      <c r="F1078" s="4">
        <f t="shared" si="539"/>
        <v>7.7606970035327253E-5</v>
      </c>
      <c r="G1078" s="4">
        <f t="shared" si="539"/>
        <v>7.7606970035327253E-5</v>
      </c>
      <c r="H1078" s="4">
        <f t="shared" si="539"/>
        <v>7.7606970035327253E-5</v>
      </c>
      <c r="I1078" s="4">
        <f t="shared" si="539"/>
        <v>7.7606970035327253E-5</v>
      </c>
      <c r="J1078" s="4">
        <f t="shared" si="539"/>
        <v>7.7606970035327253E-5</v>
      </c>
      <c r="K1078" s="4">
        <f t="shared" si="539"/>
        <v>7.7606970035327253E-5</v>
      </c>
      <c r="L1078" s="4">
        <f t="shared" si="539"/>
        <v>7.7606970035327253E-5</v>
      </c>
      <c r="M1078" s="4">
        <f t="shared" si="539"/>
        <v>7.7606970035327253E-5</v>
      </c>
      <c r="N1078" t="s">
        <v>256</v>
      </c>
      <c r="O1078" t="s">
        <v>356</v>
      </c>
      <c r="P1078" t="s">
        <v>351</v>
      </c>
      <c r="Q1078" s="4" t="s">
        <v>245</v>
      </c>
    </row>
    <row r="1079" spans="1:18" x14ac:dyDescent="0.25">
      <c r="A1079" t="s">
        <v>565</v>
      </c>
      <c r="B1079" t="s">
        <v>127</v>
      </c>
      <c r="C1079" s="4">
        <f t="shared" ref="C1079:M1079" si="540">(0.0822572721273277/(0.0328453630665826+0.350336698877979+0.0822572721273277+0.0181224344560457+0.178561789731549)) * 0.0146674337316358%</f>
        <v>1.8221721200258019E-5</v>
      </c>
      <c r="D1079" s="4">
        <f t="shared" si="540"/>
        <v>1.8221721200258019E-5</v>
      </c>
      <c r="E1079" s="4">
        <f t="shared" si="540"/>
        <v>1.8221721200258019E-5</v>
      </c>
      <c r="F1079" s="4">
        <f t="shared" si="540"/>
        <v>1.8221721200258019E-5</v>
      </c>
      <c r="G1079" s="4">
        <f t="shared" si="540"/>
        <v>1.8221721200258019E-5</v>
      </c>
      <c r="H1079" s="4">
        <f t="shared" si="540"/>
        <v>1.8221721200258019E-5</v>
      </c>
      <c r="I1079" s="4">
        <f t="shared" si="540"/>
        <v>1.8221721200258019E-5</v>
      </c>
      <c r="J1079" s="4">
        <f t="shared" si="540"/>
        <v>1.8221721200258019E-5</v>
      </c>
      <c r="K1079" s="4">
        <f t="shared" si="540"/>
        <v>1.8221721200258019E-5</v>
      </c>
      <c r="L1079" s="4">
        <f t="shared" si="540"/>
        <v>1.8221721200258019E-5</v>
      </c>
      <c r="M1079" s="4">
        <f t="shared" si="540"/>
        <v>1.8221721200258019E-5</v>
      </c>
      <c r="N1079" t="s">
        <v>256</v>
      </c>
      <c r="O1079" t="s">
        <v>353</v>
      </c>
      <c r="P1079" t="s">
        <v>351</v>
      </c>
      <c r="Q1079" s="4" t="s">
        <v>245</v>
      </c>
    </row>
    <row r="1080" spans="1:18" x14ac:dyDescent="0.25">
      <c r="A1080" t="s">
        <v>565</v>
      </c>
      <c r="B1080" t="s">
        <v>127</v>
      </c>
      <c r="C1080" s="4">
        <f t="shared" ref="C1080:M1080" si="541">(0.0181224344560457/(0.0328453630665826+0.350336698877979+0.0822572721273277+0.0181224344560457+0.178561789731549)) * 0.0146674337316358%</f>
        <v>4.0145015703518234E-6</v>
      </c>
      <c r="D1080" s="4">
        <f t="shared" si="541"/>
        <v>4.0145015703518234E-6</v>
      </c>
      <c r="E1080" s="4">
        <f t="shared" si="541"/>
        <v>4.0145015703518234E-6</v>
      </c>
      <c r="F1080" s="4">
        <f t="shared" si="541"/>
        <v>4.0145015703518234E-6</v>
      </c>
      <c r="G1080" s="4">
        <f t="shared" si="541"/>
        <v>4.0145015703518234E-6</v>
      </c>
      <c r="H1080" s="4">
        <f t="shared" si="541"/>
        <v>4.0145015703518234E-6</v>
      </c>
      <c r="I1080" s="4">
        <f t="shared" si="541"/>
        <v>4.0145015703518234E-6</v>
      </c>
      <c r="J1080" s="4">
        <f t="shared" si="541"/>
        <v>4.0145015703518234E-6</v>
      </c>
      <c r="K1080" s="4">
        <f t="shared" si="541"/>
        <v>4.0145015703518234E-6</v>
      </c>
      <c r="L1080" s="4">
        <f t="shared" si="541"/>
        <v>4.0145015703518234E-6</v>
      </c>
      <c r="M1080" s="4">
        <f t="shared" si="541"/>
        <v>4.0145015703518234E-6</v>
      </c>
      <c r="N1080" t="s">
        <v>256</v>
      </c>
      <c r="O1080" t="s">
        <v>280</v>
      </c>
      <c r="P1080" t="s">
        <v>351</v>
      </c>
      <c r="Q1080" s="4" t="s">
        <v>245</v>
      </c>
    </row>
    <row r="1081" spans="1:18" x14ac:dyDescent="0.25">
      <c r="A1081" t="s">
        <v>565</v>
      </c>
      <c r="B1081" t="s">
        <v>127</v>
      </c>
      <c r="C1081" s="4">
        <f t="shared" ref="C1081:M1081" si="542">(0.178561789731549/(0.0328453630665826+0.350336698877979+0.0822572721273277+0.0181224344560457+0.178561789731549)) * 0.0146674337316358%</f>
        <v>3.9555203635623951E-5</v>
      </c>
      <c r="D1081" s="4">
        <f t="shared" si="542"/>
        <v>3.9555203635623951E-5</v>
      </c>
      <c r="E1081" s="4">
        <f t="shared" si="542"/>
        <v>3.9555203635623951E-5</v>
      </c>
      <c r="F1081" s="4">
        <f t="shared" si="542"/>
        <v>3.9555203635623951E-5</v>
      </c>
      <c r="G1081" s="4">
        <f t="shared" si="542"/>
        <v>3.9555203635623951E-5</v>
      </c>
      <c r="H1081" s="4">
        <f t="shared" si="542"/>
        <v>3.9555203635623951E-5</v>
      </c>
      <c r="I1081" s="4">
        <f t="shared" si="542"/>
        <v>3.9555203635623951E-5</v>
      </c>
      <c r="J1081" s="4">
        <f t="shared" si="542"/>
        <v>3.9555203635623951E-5</v>
      </c>
      <c r="K1081" s="4">
        <f t="shared" si="542"/>
        <v>3.9555203635623951E-5</v>
      </c>
      <c r="L1081" s="4">
        <f t="shared" si="542"/>
        <v>3.9555203635623951E-5</v>
      </c>
      <c r="M1081" s="4">
        <f t="shared" si="542"/>
        <v>3.9555203635623951E-5</v>
      </c>
      <c r="N1081" t="s">
        <v>256</v>
      </c>
      <c r="O1081" t="s">
        <v>354</v>
      </c>
      <c r="P1081" t="s">
        <v>351</v>
      </c>
      <c r="Q1081" s="4" t="s">
        <v>245</v>
      </c>
    </row>
    <row r="1082" spans="1:18" x14ac:dyDescent="0.25">
      <c r="A1082" t="s">
        <v>565</v>
      </c>
      <c r="B1082" t="s">
        <v>116</v>
      </c>
      <c r="C1082" s="4">
        <f t="shared" ref="C1082:M1082" si="543" xml:space="preserve"> 5.74710702661144% * (0.0511377513993434/(0.0511377513993434+0.00710690436703483))</f>
        <v>5.0458557360369201E-2</v>
      </c>
      <c r="D1082" s="4">
        <f t="shared" si="543"/>
        <v>5.0458557360369201E-2</v>
      </c>
      <c r="E1082" s="4">
        <f t="shared" si="543"/>
        <v>5.0458557360369201E-2</v>
      </c>
      <c r="F1082" s="4">
        <f t="shared" si="543"/>
        <v>5.0458557360369201E-2</v>
      </c>
      <c r="G1082" s="4">
        <f t="shared" si="543"/>
        <v>5.0458557360369201E-2</v>
      </c>
      <c r="H1082" s="4">
        <f t="shared" si="543"/>
        <v>5.0458557360369201E-2</v>
      </c>
      <c r="I1082" s="4">
        <f t="shared" si="543"/>
        <v>5.0458557360369201E-2</v>
      </c>
      <c r="J1082" s="4">
        <f t="shared" si="543"/>
        <v>5.0458557360369201E-2</v>
      </c>
      <c r="K1082" s="4">
        <f t="shared" si="543"/>
        <v>5.0458557360369201E-2</v>
      </c>
      <c r="L1082" s="4">
        <f t="shared" si="543"/>
        <v>5.0458557360369201E-2</v>
      </c>
      <c r="M1082" s="4">
        <f t="shared" si="543"/>
        <v>5.0458557360369201E-2</v>
      </c>
      <c r="N1082" t="s">
        <v>270</v>
      </c>
      <c r="O1082" t="s">
        <v>350</v>
      </c>
      <c r="P1082" t="s">
        <v>351</v>
      </c>
      <c r="Q1082" s="4" t="s">
        <v>245</v>
      </c>
      <c r="R1082" t="s">
        <v>352</v>
      </c>
    </row>
    <row r="1083" spans="1:18" x14ac:dyDescent="0.25">
      <c r="A1083" t="s">
        <v>565</v>
      </c>
      <c r="B1083" t="s">
        <v>116</v>
      </c>
      <c r="C1083" s="4">
        <f t="shared" ref="C1083:M1083" si="544" xml:space="preserve"> 5.74710702661144% * (0.00710690436703483/(0.0511377513993434+0.00710690436703483))</f>
        <v>7.0125129057452022E-3</v>
      </c>
      <c r="D1083" s="4">
        <f t="shared" si="544"/>
        <v>7.0125129057452022E-3</v>
      </c>
      <c r="E1083" s="4">
        <f t="shared" si="544"/>
        <v>7.0125129057452022E-3</v>
      </c>
      <c r="F1083" s="4">
        <f t="shared" si="544"/>
        <v>7.0125129057452022E-3</v>
      </c>
      <c r="G1083" s="4">
        <f t="shared" si="544"/>
        <v>7.0125129057452022E-3</v>
      </c>
      <c r="H1083" s="4">
        <f t="shared" si="544"/>
        <v>7.0125129057452022E-3</v>
      </c>
      <c r="I1083" s="4">
        <f t="shared" si="544"/>
        <v>7.0125129057452022E-3</v>
      </c>
      <c r="J1083" s="4">
        <f t="shared" si="544"/>
        <v>7.0125129057452022E-3</v>
      </c>
      <c r="K1083" s="4">
        <f t="shared" si="544"/>
        <v>7.0125129057452022E-3</v>
      </c>
      <c r="L1083" s="4">
        <f t="shared" si="544"/>
        <v>7.0125129057452022E-3</v>
      </c>
      <c r="M1083" s="4">
        <f t="shared" si="544"/>
        <v>7.0125129057452022E-3</v>
      </c>
      <c r="N1083" t="s">
        <v>288</v>
      </c>
      <c r="O1083" t="s">
        <v>353</v>
      </c>
      <c r="P1083" t="s">
        <v>351</v>
      </c>
      <c r="Q1083" s="4" t="s">
        <v>245</v>
      </c>
    </row>
    <row r="1084" spans="1:18" x14ac:dyDescent="0.25">
      <c r="A1084" t="s">
        <v>565</v>
      </c>
      <c r="B1084" t="s">
        <v>188</v>
      </c>
      <c r="C1084" s="4">
        <f t="shared" ref="C1084:M1084" si="545">(0.0328453630665826/(0.0328453630665826+0.350336698877979+0.0822572721273277+0.0181224344560457+0.178561789731549)) * 0.0113262502253339%</f>
        <v>5.618510264337455E-6</v>
      </c>
      <c r="D1084" s="4">
        <f t="shared" si="545"/>
        <v>5.618510264337455E-6</v>
      </c>
      <c r="E1084" s="4">
        <f t="shared" si="545"/>
        <v>5.618510264337455E-6</v>
      </c>
      <c r="F1084" s="4">
        <f t="shared" si="545"/>
        <v>5.618510264337455E-6</v>
      </c>
      <c r="G1084" s="4">
        <f t="shared" si="545"/>
        <v>5.618510264337455E-6</v>
      </c>
      <c r="H1084" s="4">
        <f t="shared" si="545"/>
        <v>5.618510264337455E-6</v>
      </c>
      <c r="I1084" s="4">
        <f t="shared" si="545"/>
        <v>5.618510264337455E-6</v>
      </c>
      <c r="J1084" s="4">
        <f t="shared" si="545"/>
        <v>5.618510264337455E-6</v>
      </c>
      <c r="K1084" s="4">
        <f t="shared" si="545"/>
        <v>5.618510264337455E-6</v>
      </c>
      <c r="L1084" s="4">
        <f t="shared" si="545"/>
        <v>5.618510264337455E-6</v>
      </c>
      <c r="M1084" s="4">
        <f t="shared" si="545"/>
        <v>5.618510264337455E-6</v>
      </c>
      <c r="N1084" t="s">
        <v>242</v>
      </c>
      <c r="O1084" t="s">
        <v>358</v>
      </c>
      <c r="P1084" t="s">
        <v>351</v>
      </c>
      <c r="Q1084" s="4" t="s">
        <v>245</v>
      </c>
    </row>
    <row r="1085" spans="1:18" x14ac:dyDescent="0.25">
      <c r="A1085" t="s">
        <v>565</v>
      </c>
      <c r="B1085" t="s">
        <v>188</v>
      </c>
      <c r="C1085" s="4">
        <f t="shared" ref="C1085:M1085" si="546">(0.350336698877979/(0.0328453630665826+0.350336698877979+0.0822572721273277+0.0181224344560457+0.178561789731549)) * 0.0113262502253339%</f>
        <v>5.9928408604582508E-5</v>
      </c>
      <c r="D1085" s="4">
        <f t="shared" si="546"/>
        <v>5.9928408604582508E-5</v>
      </c>
      <c r="E1085" s="4">
        <f t="shared" si="546"/>
        <v>5.9928408604582508E-5</v>
      </c>
      <c r="F1085" s="4">
        <f t="shared" si="546"/>
        <v>5.9928408604582508E-5</v>
      </c>
      <c r="G1085" s="4">
        <f t="shared" si="546"/>
        <v>5.9928408604582508E-5</v>
      </c>
      <c r="H1085" s="4">
        <f t="shared" si="546"/>
        <v>5.9928408604582508E-5</v>
      </c>
      <c r="I1085" s="4">
        <f t="shared" si="546"/>
        <v>5.9928408604582508E-5</v>
      </c>
      <c r="J1085" s="4">
        <f t="shared" si="546"/>
        <v>5.9928408604582508E-5</v>
      </c>
      <c r="K1085" s="4">
        <f t="shared" si="546"/>
        <v>5.9928408604582508E-5</v>
      </c>
      <c r="L1085" s="4">
        <f t="shared" si="546"/>
        <v>5.9928408604582508E-5</v>
      </c>
      <c r="M1085" s="4">
        <f t="shared" si="546"/>
        <v>5.9928408604582508E-5</v>
      </c>
      <c r="N1085" t="s">
        <v>256</v>
      </c>
      <c r="O1085" t="s">
        <v>356</v>
      </c>
      <c r="P1085" t="s">
        <v>351</v>
      </c>
      <c r="Q1085" s="4" t="s">
        <v>245</v>
      </c>
    </row>
    <row r="1086" spans="1:18" x14ac:dyDescent="0.25">
      <c r="A1086" t="s">
        <v>565</v>
      </c>
      <c r="B1086" t="s">
        <v>188</v>
      </c>
      <c r="C1086" s="4">
        <f t="shared" ref="C1086:M1086" si="547">(0.0822572721273277/(0.0328453630665826+0.350336698877979+0.0822572721273277+0.0181224344560457+0.178561789731549)) * 0.0113262502253339%</f>
        <v>1.4070885038686092E-5</v>
      </c>
      <c r="D1086" s="4">
        <f t="shared" si="547"/>
        <v>1.4070885038686092E-5</v>
      </c>
      <c r="E1086" s="4">
        <f t="shared" si="547"/>
        <v>1.4070885038686092E-5</v>
      </c>
      <c r="F1086" s="4">
        <f t="shared" si="547"/>
        <v>1.4070885038686092E-5</v>
      </c>
      <c r="G1086" s="4">
        <f t="shared" si="547"/>
        <v>1.4070885038686092E-5</v>
      </c>
      <c r="H1086" s="4">
        <f t="shared" si="547"/>
        <v>1.4070885038686092E-5</v>
      </c>
      <c r="I1086" s="4">
        <f t="shared" si="547"/>
        <v>1.4070885038686092E-5</v>
      </c>
      <c r="J1086" s="4">
        <f t="shared" si="547"/>
        <v>1.4070885038686092E-5</v>
      </c>
      <c r="K1086" s="4">
        <f t="shared" si="547"/>
        <v>1.4070885038686092E-5</v>
      </c>
      <c r="L1086" s="4">
        <f t="shared" si="547"/>
        <v>1.4070885038686092E-5</v>
      </c>
      <c r="M1086" s="4">
        <f t="shared" si="547"/>
        <v>1.4070885038686092E-5</v>
      </c>
      <c r="N1086" t="s">
        <v>256</v>
      </c>
      <c r="O1086" t="s">
        <v>353</v>
      </c>
      <c r="P1086" t="s">
        <v>351</v>
      </c>
      <c r="Q1086" s="4" t="s">
        <v>245</v>
      </c>
    </row>
    <row r="1087" spans="1:18" x14ac:dyDescent="0.25">
      <c r="A1087" t="s">
        <v>565</v>
      </c>
      <c r="B1087" t="s">
        <v>188</v>
      </c>
      <c r="C1087" s="4">
        <f t="shared" ref="C1087:M1087" si="548">(0.0181224344560457/(0.0328453630665826+0.350336698877979+0.0822572721273277+0.0181224344560457+0.178561789731549)) * 0.0113262502253339%</f>
        <v>3.1000139593424049E-6</v>
      </c>
      <c r="D1087" s="4">
        <f t="shared" si="548"/>
        <v>3.1000139593424049E-6</v>
      </c>
      <c r="E1087" s="4">
        <f t="shared" si="548"/>
        <v>3.1000139593424049E-6</v>
      </c>
      <c r="F1087" s="4">
        <f t="shared" si="548"/>
        <v>3.1000139593424049E-6</v>
      </c>
      <c r="G1087" s="4">
        <f t="shared" si="548"/>
        <v>3.1000139593424049E-6</v>
      </c>
      <c r="H1087" s="4">
        <f t="shared" si="548"/>
        <v>3.1000139593424049E-6</v>
      </c>
      <c r="I1087" s="4">
        <f t="shared" si="548"/>
        <v>3.1000139593424049E-6</v>
      </c>
      <c r="J1087" s="4">
        <f t="shared" si="548"/>
        <v>3.1000139593424049E-6</v>
      </c>
      <c r="K1087" s="4">
        <f t="shared" si="548"/>
        <v>3.1000139593424049E-6</v>
      </c>
      <c r="L1087" s="4">
        <f t="shared" si="548"/>
        <v>3.1000139593424049E-6</v>
      </c>
      <c r="M1087" s="4">
        <f t="shared" si="548"/>
        <v>3.1000139593424049E-6</v>
      </c>
      <c r="N1087" t="s">
        <v>256</v>
      </c>
      <c r="O1087" t="s">
        <v>280</v>
      </c>
      <c r="P1087" t="s">
        <v>351</v>
      </c>
      <c r="Q1087" s="4" t="s">
        <v>245</v>
      </c>
    </row>
    <row r="1088" spans="1:18" x14ac:dyDescent="0.25">
      <c r="A1088" t="s">
        <v>565</v>
      </c>
      <c r="B1088" t="s">
        <v>188</v>
      </c>
      <c r="C1088" s="4">
        <f t="shared" ref="C1088:M1088" si="549">(0.178561789731549/(0.0328453630665826+0.350336698877979+0.0822572721273277+0.0181224344560457+0.178561789731549)) * 0.0113262502253339%</f>
        <v>3.0544684386390547E-5</v>
      </c>
      <c r="D1088" s="4">
        <f t="shared" si="549"/>
        <v>3.0544684386390547E-5</v>
      </c>
      <c r="E1088" s="4">
        <f t="shared" si="549"/>
        <v>3.0544684386390547E-5</v>
      </c>
      <c r="F1088" s="4">
        <f t="shared" si="549"/>
        <v>3.0544684386390547E-5</v>
      </c>
      <c r="G1088" s="4">
        <f t="shared" si="549"/>
        <v>3.0544684386390547E-5</v>
      </c>
      <c r="H1088" s="4">
        <f t="shared" si="549"/>
        <v>3.0544684386390547E-5</v>
      </c>
      <c r="I1088" s="4">
        <f t="shared" si="549"/>
        <v>3.0544684386390547E-5</v>
      </c>
      <c r="J1088" s="4">
        <f t="shared" si="549"/>
        <v>3.0544684386390547E-5</v>
      </c>
      <c r="K1088" s="4">
        <f t="shared" si="549"/>
        <v>3.0544684386390547E-5</v>
      </c>
      <c r="L1088" s="4">
        <f t="shared" si="549"/>
        <v>3.0544684386390547E-5</v>
      </c>
      <c r="M1088" s="4">
        <f t="shared" si="549"/>
        <v>3.0544684386390547E-5</v>
      </c>
      <c r="N1088" t="s">
        <v>256</v>
      </c>
      <c r="O1088" t="s">
        <v>354</v>
      </c>
      <c r="P1088" t="s">
        <v>351</v>
      </c>
      <c r="Q1088" s="4" t="s">
        <v>245</v>
      </c>
    </row>
    <row r="1089" spans="1:17" x14ac:dyDescent="0.25">
      <c r="A1089" t="s">
        <v>565</v>
      </c>
      <c r="B1089" t="s">
        <v>145</v>
      </c>
      <c r="C1089" s="4">
        <v>1.0950819407161871E-2</v>
      </c>
      <c r="D1089" s="4">
        <v>1.0950819407161871E-2</v>
      </c>
      <c r="E1089" s="4">
        <v>1.0950819407161871E-2</v>
      </c>
      <c r="F1089" s="4">
        <v>1.0950819407161871E-2</v>
      </c>
      <c r="G1089" s="4">
        <v>1.0950819407161871E-2</v>
      </c>
      <c r="H1089" s="4">
        <v>1.0950819407161871E-2</v>
      </c>
      <c r="I1089" s="4">
        <v>1.0950819407161871E-2</v>
      </c>
      <c r="J1089" s="4">
        <v>1.0950819407161871E-2</v>
      </c>
      <c r="K1089" s="4">
        <v>1.0950819407161871E-2</v>
      </c>
      <c r="L1089" s="4">
        <v>1.0950819407161871E-2</v>
      </c>
      <c r="M1089" s="4">
        <v>1.0950819407161871E-2</v>
      </c>
      <c r="N1089" t="s">
        <v>311</v>
      </c>
      <c r="O1089" t="s">
        <v>354</v>
      </c>
      <c r="P1089" t="s">
        <v>351</v>
      </c>
      <c r="Q1089" s="4" t="s">
        <v>245</v>
      </c>
    </row>
    <row r="1090" spans="1:17" x14ac:dyDescent="0.25">
      <c r="A1090" t="s">
        <v>565</v>
      </c>
      <c r="B1090" t="s">
        <v>86</v>
      </c>
      <c r="C1090" s="4">
        <f t="shared" ref="C1090:M1090" si="550">(0.0328453630665826/(0.0328453630665826+0.350336698877979+0.0822572721273277+0.0181224344560457+0.178561789731549)) * 11.4699753952593%</f>
        <v>5.6898067063552455E-3</v>
      </c>
      <c r="D1090" s="4">
        <f t="shared" si="550"/>
        <v>5.6898067063552455E-3</v>
      </c>
      <c r="E1090" s="4">
        <f t="shared" si="550"/>
        <v>5.6898067063552455E-3</v>
      </c>
      <c r="F1090" s="4">
        <f t="shared" si="550"/>
        <v>5.6898067063552455E-3</v>
      </c>
      <c r="G1090" s="4">
        <f t="shared" si="550"/>
        <v>5.6898067063552455E-3</v>
      </c>
      <c r="H1090" s="4">
        <f t="shared" si="550"/>
        <v>5.6898067063552455E-3</v>
      </c>
      <c r="I1090" s="4">
        <f t="shared" si="550"/>
        <v>5.6898067063552455E-3</v>
      </c>
      <c r="J1090" s="4">
        <f t="shared" si="550"/>
        <v>5.6898067063552455E-3</v>
      </c>
      <c r="K1090" s="4">
        <f t="shared" si="550"/>
        <v>5.6898067063552455E-3</v>
      </c>
      <c r="L1090" s="4">
        <f t="shared" si="550"/>
        <v>5.6898067063552455E-3</v>
      </c>
      <c r="M1090" s="4">
        <f t="shared" si="550"/>
        <v>5.6898067063552455E-3</v>
      </c>
      <c r="N1090" t="s">
        <v>242</v>
      </c>
      <c r="O1090" t="s">
        <v>358</v>
      </c>
      <c r="P1090" t="s">
        <v>351</v>
      </c>
      <c r="Q1090" s="4" t="s">
        <v>245</v>
      </c>
    </row>
    <row r="1091" spans="1:17" x14ac:dyDescent="0.25">
      <c r="A1091" t="s">
        <v>565</v>
      </c>
      <c r="B1091" t="s">
        <v>86</v>
      </c>
      <c r="C1091" s="4">
        <f t="shared" ref="C1091:M1091" si="551">(0.350336698877979/(0.0328453630665826+0.350336698877979+0.0822572721273277+0.0181224344560457+0.178561789731549)) * 11.4699753952593%</f>
        <v>6.0688873942950791E-2</v>
      </c>
      <c r="D1091" s="4">
        <f t="shared" si="551"/>
        <v>6.0688873942950791E-2</v>
      </c>
      <c r="E1091" s="4">
        <f t="shared" si="551"/>
        <v>6.0688873942950791E-2</v>
      </c>
      <c r="F1091" s="4">
        <f t="shared" si="551"/>
        <v>6.0688873942950791E-2</v>
      </c>
      <c r="G1091" s="4">
        <f t="shared" si="551"/>
        <v>6.0688873942950791E-2</v>
      </c>
      <c r="H1091" s="4">
        <f t="shared" si="551"/>
        <v>6.0688873942950791E-2</v>
      </c>
      <c r="I1091" s="4">
        <f t="shared" si="551"/>
        <v>6.0688873942950791E-2</v>
      </c>
      <c r="J1091" s="4">
        <f t="shared" si="551"/>
        <v>6.0688873942950791E-2</v>
      </c>
      <c r="K1091" s="4">
        <f t="shared" si="551"/>
        <v>6.0688873942950791E-2</v>
      </c>
      <c r="L1091" s="4">
        <f t="shared" si="551"/>
        <v>6.0688873942950791E-2</v>
      </c>
      <c r="M1091" s="4">
        <f t="shared" si="551"/>
        <v>6.0688873942950791E-2</v>
      </c>
      <c r="N1091" t="s">
        <v>256</v>
      </c>
      <c r="O1091" t="s">
        <v>356</v>
      </c>
      <c r="P1091" t="s">
        <v>351</v>
      </c>
      <c r="Q1091" s="4" t="s">
        <v>245</v>
      </c>
    </row>
    <row r="1092" spans="1:17" x14ac:dyDescent="0.25">
      <c r="A1092" t="s">
        <v>565</v>
      </c>
      <c r="B1092" t="s">
        <v>86</v>
      </c>
      <c r="C1092" s="4">
        <f t="shared" ref="C1092:M1092" si="552">(0.0822572721273277/(0.0328453630665826+0.350336698877979+0.0822572721273277+0.0181224344560457+0.178561789731549)) * 11.4699753952593%</f>
        <v>1.4249438425990081E-2</v>
      </c>
      <c r="D1092" s="4">
        <f t="shared" si="552"/>
        <v>1.4249438425990081E-2</v>
      </c>
      <c r="E1092" s="4">
        <f t="shared" si="552"/>
        <v>1.4249438425990081E-2</v>
      </c>
      <c r="F1092" s="4">
        <f t="shared" si="552"/>
        <v>1.4249438425990081E-2</v>
      </c>
      <c r="G1092" s="4">
        <f t="shared" si="552"/>
        <v>1.4249438425990081E-2</v>
      </c>
      <c r="H1092" s="4">
        <f t="shared" si="552"/>
        <v>1.4249438425990081E-2</v>
      </c>
      <c r="I1092" s="4">
        <f t="shared" si="552"/>
        <v>1.4249438425990081E-2</v>
      </c>
      <c r="J1092" s="4">
        <f t="shared" si="552"/>
        <v>1.4249438425990081E-2</v>
      </c>
      <c r="K1092" s="4">
        <f t="shared" si="552"/>
        <v>1.4249438425990081E-2</v>
      </c>
      <c r="L1092" s="4">
        <f t="shared" si="552"/>
        <v>1.4249438425990081E-2</v>
      </c>
      <c r="M1092" s="4">
        <f t="shared" si="552"/>
        <v>1.4249438425990081E-2</v>
      </c>
      <c r="N1092" t="s">
        <v>256</v>
      </c>
      <c r="O1092" t="s">
        <v>353</v>
      </c>
      <c r="P1092" t="s">
        <v>351</v>
      </c>
      <c r="Q1092" s="4" t="s">
        <v>245</v>
      </c>
    </row>
    <row r="1093" spans="1:17" x14ac:dyDescent="0.25">
      <c r="A1093" t="s">
        <v>565</v>
      </c>
      <c r="B1093" t="s">
        <v>86</v>
      </c>
      <c r="C1093" s="4">
        <f t="shared" ref="C1093:M1093" si="553">(0.0181224344560457/(0.0328453630665826+0.350336698877979+0.0822572721273277+0.0181224344560457+0.178561789731549)) * 11.4699753952593%</f>
        <v>3.1393517829127354E-3</v>
      </c>
      <c r="D1093" s="4">
        <f t="shared" si="553"/>
        <v>3.1393517829127354E-3</v>
      </c>
      <c r="E1093" s="4">
        <f t="shared" si="553"/>
        <v>3.1393517829127354E-3</v>
      </c>
      <c r="F1093" s="4">
        <f t="shared" si="553"/>
        <v>3.1393517829127354E-3</v>
      </c>
      <c r="G1093" s="4">
        <f t="shared" si="553"/>
        <v>3.1393517829127354E-3</v>
      </c>
      <c r="H1093" s="4">
        <f t="shared" si="553"/>
        <v>3.1393517829127354E-3</v>
      </c>
      <c r="I1093" s="4">
        <f t="shared" si="553"/>
        <v>3.1393517829127354E-3</v>
      </c>
      <c r="J1093" s="4">
        <f t="shared" si="553"/>
        <v>3.1393517829127354E-3</v>
      </c>
      <c r="K1093" s="4">
        <f t="shared" si="553"/>
        <v>3.1393517829127354E-3</v>
      </c>
      <c r="L1093" s="4">
        <f t="shared" si="553"/>
        <v>3.1393517829127354E-3</v>
      </c>
      <c r="M1093" s="4">
        <f t="shared" si="553"/>
        <v>3.1393517829127354E-3</v>
      </c>
      <c r="N1093" t="s">
        <v>256</v>
      </c>
      <c r="O1093" t="s">
        <v>280</v>
      </c>
      <c r="P1093" t="s">
        <v>351</v>
      </c>
      <c r="Q1093" s="4" t="s">
        <v>245</v>
      </c>
    </row>
    <row r="1094" spans="1:17" x14ac:dyDescent="0.25">
      <c r="A1094" t="s">
        <v>565</v>
      </c>
      <c r="B1094" t="s">
        <v>86</v>
      </c>
      <c r="C1094" s="4">
        <f t="shared" ref="C1094:M1094" si="554">(0.178561789731549/(0.0328453630665826+0.350336698877979+0.0822572721273277+0.0181224344560457+0.178561789731549)) * 11.4699753952593%</f>
        <v>3.0932283094384155E-2</v>
      </c>
      <c r="D1094" s="4">
        <f t="shared" si="554"/>
        <v>3.0932283094384155E-2</v>
      </c>
      <c r="E1094" s="4">
        <f t="shared" si="554"/>
        <v>3.0932283094384155E-2</v>
      </c>
      <c r="F1094" s="4">
        <f t="shared" si="554"/>
        <v>3.0932283094384155E-2</v>
      </c>
      <c r="G1094" s="4">
        <f t="shared" si="554"/>
        <v>3.0932283094384155E-2</v>
      </c>
      <c r="H1094" s="4">
        <f t="shared" si="554"/>
        <v>3.0932283094384155E-2</v>
      </c>
      <c r="I1094" s="4">
        <f t="shared" si="554"/>
        <v>3.0932283094384155E-2</v>
      </c>
      <c r="J1094" s="4">
        <f t="shared" si="554"/>
        <v>3.0932283094384155E-2</v>
      </c>
      <c r="K1094" s="4">
        <f t="shared" si="554"/>
        <v>3.0932283094384155E-2</v>
      </c>
      <c r="L1094" s="4">
        <f t="shared" si="554"/>
        <v>3.0932283094384155E-2</v>
      </c>
      <c r="M1094" s="4">
        <f t="shared" si="554"/>
        <v>3.0932283094384155E-2</v>
      </c>
      <c r="N1094" t="s">
        <v>256</v>
      </c>
      <c r="O1094" t="s">
        <v>354</v>
      </c>
      <c r="P1094" t="s">
        <v>351</v>
      </c>
      <c r="Q1094" s="4" t="s">
        <v>245</v>
      </c>
    </row>
    <row r="1095" spans="1:17" x14ac:dyDescent="0.25">
      <c r="A1095" t="s">
        <v>565</v>
      </c>
      <c r="B1095" t="s">
        <v>87</v>
      </c>
      <c r="C1095" s="4">
        <f t="shared" ref="C1095:M1095" si="555">(0.0328453630665826/(0.0328453630665826+0.350336698877979+0.0822572721273277+0.0181224344560457+0.178561789731549)) * 1.33420574006883%</f>
        <v>6.6184734543013168E-4</v>
      </c>
      <c r="D1095" s="4">
        <f t="shared" si="555"/>
        <v>6.6184734543013168E-4</v>
      </c>
      <c r="E1095" s="4">
        <f t="shared" si="555"/>
        <v>6.6184734543013168E-4</v>
      </c>
      <c r="F1095" s="4">
        <f t="shared" si="555"/>
        <v>6.6184734543013168E-4</v>
      </c>
      <c r="G1095" s="4">
        <f t="shared" si="555"/>
        <v>6.6184734543013168E-4</v>
      </c>
      <c r="H1095" s="4">
        <f t="shared" si="555"/>
        <v>6.6184734543013168E-4</v>
      </c>
      <c r="I1095" s="4">
        <f t="shared" si="555"/>
        <v>6.6184734543013168E-4</v>
      </c>
      <c r="J1095" s="4">
        <f t="shared" si="555"/>
        <v>6.6184734543013168E-4</v>
      </c>
      <c r="K1095" s="4">
        <f t="shared" si="555"/>
        <v>6.6184734543013168E-4</v>
      </c>
      <c r="L1095" s="4">
        <f t="shared" si="555"/>
        <v>6.6184734543013168E-4</v>
      </c>
      <c r="M1095" s="4">
        <f t="shared" si="555"/>
        <v>6.6184734543013168E-4</v>
      </c>
      <c r="N1095" t="s">
        <v>242</v>
      </c>
      <c r="O1095" t="s">
        <v>358</v>
      </c>
      <c r="P1095" t="s">
        <v>351</v>
      </c>
      <c r="Q1095" s="4" t="s">
        <v>245</v>
      </c>
    </row>
    <row r="1096" spans="1:17" x14ac:dyDescent="0.25">
      <c r="A1096" t="s">
        <v>565</v>
      </c>
      <c r="B1096" t="s">
        <v>87</v>
      </c>
      <c r="C1096" s="4">
        <f t="shared" ref="C1096:M1096" si="556">(0.350336698877979/(0.0328453630665826+0.350336698877979+0.0822572721273277+0.0181224344560457+0.178561789731549)) * 1.33420574006883%</f>
        <v>7.0594261262727056E-3</v>
      </c>
      <c r="D1096" s="4">
        <f t="shared" si="556"/>
        <v>7.0594261262727056E-3</v>
      </c>
      <c r="E1096" s="4">
        <f t="shared" si="556"/>
        <v>7.0594261262727056E-3</v>
      </c>
      <c r="F1096" s="4">
        <f t="shared" si="556"/>
        <v>7.0594261262727056E-3</v>
      </c>
      <c r="G1096" s="4">
        <f t="shared" si="556"/>
        <v>7.0594261262727056E-3</v>
      </c>
      <c r="H1096" s="4">
        <f t="shared" si="556"/>
        <v>7.0594261262727056E-3</v>
      </c>
      <c r="I1096" s="4">
        <f t="shared" si="556"/>
        <v>7.0594261262727056E-3</v>
      </c>
      <c r="J1096" s="4">
        <f t="shared" si="556"/>
        <v>7.0594261262727056E-3</v>
      </c>
      <c r="K1096" s="4">
        <f t="shared" si="556"/>
        <v>7.0594261262727056E-3</v>
      </c>
      <c r="L1096" s="4">
        <f t="shared" si="556"/>
        <v>7.0594261262727056E-3</v>
      </c>
      <c r="M1096" s="4">
        <f t="shared" si="556"/>
        <v>7.0594261262727056E-3</v>
      </c>
      <c r="N1096" t="s">
        <v>256</v>
      </c>
      <c r="O1096" t="s">
        <v>356</v>
      </c>
      <c r="P1096" t="s">
        <v>351</v>
      </c>
      <c r="Q1096" s="4" t="s">
        <v>245</v>
      </c>
    </row>
    <row r="1097" spans="1:17" x14ac:dyDescent="0.25">
      <c r="A1097" t="s">
        <v>565</v>
      </c>
      <c r="B1097" t="s">
        <v>87</v>
      </c>
      <c r="C1097" s="4">
        <f t="shared" ref="C1097:M1097" si="557">(0.0822572721273277/(0.0328453630665826+0.350336698877979+0.0822572721273277+0.0181224344560457+0.178561789731549)) * 1.33420574006883%</f>
        <v>1.6575172906274161E-3</v>
      </c>
      <c r="D1097" s="4">
        <f t="shared" si="557"/>
        <v>1.6575172906274161E-3</v>
      </c>
      <c r="E1097" s="4">
        <f t="shared" si="557"/>
        <v>1.6575172906274161E-3</v>
      </c>
      <c r="F1097" s="4">
        <f t="shared" si="557"/>
        <v>1.6575172906274161E-3</v>
      </c>
      <c r="G1097" s="4">
        <f t="shared" si="557"/>
        <v>1.6575172906274161E-3</v>
      </c>
      <c r="H1097" s="4">
        <f t="shared" si="557"/>
        <v>1.6575172906274161E-3</v>
      </c>
      <c r="I1097" s="4">
        <f t="shared" si="557"/>
        <v>1.6575172906274161E-3</v>
      </c>
      <c r="J1097" s="4">
        <f t="shared" si="557"/>
        <v>1.6575172906274161E-3</v>
      </c>
      <c r="K1097" s="4">
        <f t="shared" si="557"/>
        <v>1.6575172906274161E-3</v>
      </c>
      <c r="L1097" s="4">
        <f t="shared" si="557"/>
        <v>1.6575172906274161E-3</v>
      </c>
      <c r="M1097" s="4">
        <f t="shared" si="557"/>
        <v>1.6575172906274161E-3</v>
      </c>
      <c r="N1097" t="s">
        <v>256</v>
      </c>
      <c r="O1097" t="s">
        <v>353</v>
      </c>
      <c r="P1097" t="s">
        <v>351</v>
      </c>
      <c r="Q1097" s="4" t="s">
        <v>245</v>
      </c>
    </row>
    <row r="1098" spans="1:17" x14ac:dyDescent="0.25">
      <c r="A1098" t="s">
        <v>565</v>
      </c>
      <c r="B1098" t="s">
        <v>87</v>
      </c>
      <c r="C1098" s="4">
        <f t="shared" ref="C1098:M1098" si="558">(0.0181224344560457/(0.0328453630665826+0.350336698877979+0.0822572721273277+0.0181224344560457+0.178561789731549)) * 1.33420574006883%</f>
        <v>3.6517438133203578E-4</v>
      </c>
      <c r="D1098" s="4">
        <f t="shared" si="558"/>
        <v>3.6517438133203578E-4</v>
      </c>
      <c r="E1098" s="4">
        <f t="shared" si="558"/>
        <v>3.6517438133203578E-4</v>
      </c>
      <c r="F1098" s="4">
        <f t="shared" si="558"/>
        <v>3.6517438133203578E-4</v>
      </c>
      <c r="G1098" s="4">
        <f t="shared" si="558"/>
        <v>3.6517438133203578E-4</v>
      </c>
      <c r="H1098" s="4">
        <f t="shared" si="558"/>
        <v>3.6517438133203578E-4</v>
      </c>
      <c r="I1098" s="4">
        <f t="shared" si="558"/>
        <v>3.6517438133203578E-4</v>
      </c>
      <c r="J1098" s="4">
        <f t="shared" si="558"/>
        <v>3.6517438133203578E-4</v>
      </c>
      <c r="K1098" s="4">
        <f t="shared" si="558"/>
        <v>3.6517438133203578E-4</v>
      </c>
      <c r="L1098" s="4">
        <f t="shared" si="558"/>
        <v>3.6517438133203578E-4</v>
      </c>
      <c r="M1098" s="4">
        <f t="shared" si="558"/>
        <v>3.6517438133203578E-4</v>
      </c>
      <c r="N1098" t="s">
        <v>256</v>
      </c>
      <c r="O1098" t="s">
        <v>280</v>
      </c>
      <c r="P1098" t="s">
        <v>351</v>
      </c>
      <c r="Q1098" s="4" t="s">
        <v>245</v>
      </c>
    </row>
    <row r="1099" spans="1:17" x14ac:dyDescent="0.25">
      <c r="A1099" t="s">
        <v>565</v>
      </c>
      <c r="B1099" t="s">
        <v>87</v>
      </c>
      <c r="C1099" s="4">
        <f t="shared" ref="C1099:M1099" si="559">(0.178561789731549/(0.0328453630665826+0.350336698877979+0.0822572721273277+0.0181224344560457+0.178561789731549)) * 1.33420574006883%</f>
        <v>3.5980922570260131E-3</v>
      </c>
      <c r="D1099" s="4">
        <f t="shared" si="559"/>
        <v>3.5980922570260131E-3</v>
      </c>
      <c r="E1099" s="4">
        <f t="shared" si="559"/>
        <v>3.5980922570260131E-3</v>
      </c>
      <c r="F1099" s="4">
        <f t="shared" si="559"/>
        <v>3.5980922570260131E-3</v>
      </c>
      <c r="G1099" s="4">
        <f t="shared" si="559"/>
        <v>3.5980922570260131E-3</v>
      </c>
      <c r="H1099" s="4">
        <f t="shared" si="559"/>
        <v>3.5980922570260131E-3</v>
      </c>
      <c r="I1099" s="4">
        <f t="shared" si="559"/>
        <v>3.5980922570260131E-3</v>
      </c>
      <c r="J1099" s="4">
        <f t="shared" si="559"/>
        <v>3.5980922570260131E-3</v>
      </c>
      <c r="K1099" s="4">
        <f t="shared" si="559"/>
        <v>3.5980922570260131E-3</v>
      </c>
      <c r="L1099" s="4">
        <f t="shared" si="559"/>
        <v>3.5980922570260131E-3</v>
      </c>
      <c r="M1099" s="4">
        <f t="shared" si="559"/>
        <v>3.5980922570260131E-3</v>
      </c>
      <c r="N1099" t="s">
        <v>256</v>
      </c>
      <c r="O1099" t="s">
        <v>354</v>
      </c>
      <c r="P1099" t="s">
        <v>351</v>
      </c>
      <c r="Q1099" s="4" t="s">
        <v>245</v>
      </c>
    </row>
    <row r="1100" spans="1:17" x14ac:dyDescent="0.25">
      <c r="A1100" t="s">
        <v>565</v>
      </c>
      <c r="B1100" t="s">
        <v>189</v>
      </c>
      <c r="C1100" s="4">
        <f t="shared" ref="C1100:M1100" si="560">(0.0328453630665826/(0.0328453630665826+0.350336698877979+0.0822572721273277+0.0181224344560457+0.178561789731549)) * 0.00452326286954228%</f>
        <v>2.2438140033296488E-6</v>
      </c>
      <c r="D1100" s="4">
        <f t="shared" si="560"/>
        <v>2.2438140033296488E-6</v>
      </c>
      <c r="E1100" s="4">
        <f t="shared" si="560"/>
        <v>2.2438140033296488E-6</v>
      </c>
      <c r="F1100" s="4">
        <f t="shared" si="560"/>
        <v>2.2438140033296488E-6</v>
      </c>
      <c r="G1100" s="4">
        <f t="shared" si="560"/>
        <v>2.2438140033296488E-6</v>
      </c>
      <c r="H1100" s="4">
        <f t="shared" si="560"/>
        <v>2.2438140033296488E-6</v>
      </c>
      <c r="I1100" s="4">
        <f t="shared" si="560"/>
        <v>2.2438140033296488E-6</v>
      </c>
      <c r="J1100" s="4">
        <f t="shared" si="560"/>
        <v>2.2438140033296488E-6</v>
      </c>
      <c r="K1100" s="4">
        <f t="shared" si="560"/>
        <v>2.2438140033296488E-6</v>
      </c>
      <c r="L1100" s="4">
        <f t="shared" si="560"/>
        <v>2.2438140033296488E-6</v>
      </c>
      <c r="M1100" s="4">
        <f t="shared" si="560"/>
        <v>2.2438140033296488E-6</v>
      </c>
      <c r="N1100" t="s">
        <v>242</v>
      </c>
      <c r="O1100" t="s">
        <v>358</v>
      </c>
      <c r="P1100" t="s">
        <v>351</v>
      </c>
      <c r="Q1100" s="4" t="s">
        <v>245</v>
      </c>
    </row>
    <row r="1101" spans="1:17" x14ac:dyDescent="0.25">
      <c r="A1101" t="s">
        <v>565</v>
      </c>
      <c r="B1101" t="s">
        <v>189</v>
      </c>
      <c r="C1101" s="4">
        <f t="shared" ref="C1101:M1101" si="561">(0.350336698877979/(0.0328453630665826+0.350336698877979+0.0822572721273277+0.0181224344560457+0.178561789731549)) * 0.00452326286954228%</f>
        <v>2.3933070528986561E-5</v>
      </c>
      <c r="D1101" s="4">
        <f t="shared" si="561"/>
        <v>2.3933070528986561E-5</v>
      </c>
      <c r="E1101" s="4">
        <f t="shared" si="561"/>
        <v>2.3933070528986561E-5</v>
      </c>
      <c r="F1101" s="4">
        <f t="shared" si="561"/>
        <v>2.3933070528986561E-5</v>
      </c>
      <c r="G1101" s="4">
        <f t="shared" si="561"/>
        <v>2.3933070528986561E-5</v>
      </c>
      <c r="H1101" s="4">
        <f t="shared" si="561"/>
        <v>2.3933070528986561E-5</v>
      </c>
      <c r="I1101" s="4">
        <f t="shared" si="561"/>
        <v>2.3933070528986561E-5</v>
      </c>
      <c r="J1101" s="4">
        <f t="shared" si="561"/>
        <v>2.3933070528986561E-5</v>
      </c>
      <c r="K1101" s="4">
        <f t="shared" si="561"/>
        <v>2.3933070528986561E-5</v>
      </c>
      <c r="L1101" s="4">
        <f t="shared" si="561"/>
        <v>2.3933070528986561E-5</v>
      </c>
      <c r="M1101" s="4">
        <f t="shared" si="561"/>
        <v>2.3933070528986561E-5</v>
      </c>
      <c r="N1101" t="s">
        <v>256</v>
      </c>
      <c r="O1101" t="s">
        <v>356</v>
      </c>
      <c r="P1101" t="s">
        <v>351</v>
      </c>
      <c r="Q1101" s="4" t="s">
        <v>245</v>
      </c>
    </row>
    <row r="1102" spans="1:17" x14ac:dyDescent="0.25">
      <c r="A1102" t="s">
        <v>565</v>
      </c>
      <c r="B1102" t="s">
        <v>189</v>
      </c>
      <c r="C1102" s="4">
        <f t="shared" ref="C1102:M1102" si="562">(0.0822572721273277/(0.0328453630665826+0.350336698877979+0.0822572721273277+0.0181224344560457+0.178561789731549)) * 0.00452326286954228%</f>
        <v>5.6193630346190315E-6</v>
      </c>
      <c r="D1102" s="4">
        <f t="shared" si="562"/>
        <v>5.6193630346190315E-6</v>
      </c>
      <c r="E1102" s="4">
        <f t="shared" si="562"/>
        <v>5.6193630346190315E-6</v>
      </c>
      <c r="F1102" s="4">
        <f t="shared" si="562"/>
        <v>5.6193630346190315E-6</v>
      </c>
      <c r="G1102" s="4">
        <f t="shared" si="562"/>
        <v>5.6193630346190315E-6</v>
      </c>
      <c r="H1102" s="4">
        <f t="shared" si="562"/>
        <v>5.6193630346190315E-6</v>
      </c>
      <c r="I1102" s="4">
        <f t="shared" si="562"/>
        <v>5.6193630346190315E-6</v>
      </c>
      <c r="J1102" s="4">
        <f t="shared" si="562"/>
        <v>5.6193630346190315E-6</v>
      </c>
      <c r="K1102" s="4">
        <f t="shared" si="562"/>
        <v>5.6193630346190315E-6</v>
      </c>
      <c r="L1102" s="4">
        <f t="shared" si="562"/>
        <v>5.6193630346190315E-6</v>
      </c>
      <c r="M1102" s="4">
        <f t="shared" si="562"/>
        <v>5.6193630346190315E-6</v>
      </c>
      <c r="N1102" t="s">
        <v>256</v>
      </c>
      <c r="O1102" t="s">
        <v>353</v>
      </c>
      <c r="P1102" t="s">
        <v>351</v>
      </c>
      <c r="Q1102" s="4" t="s">
        <v>245</v>
      </c>
    </row>
    <row r="1103" spans="1:17" x14ac:dyDescent="0.25">
      <c r="A1103" t="s">
        <v>565</v>
      </c>
      <c r="B1103" t="s">
        <v>189</v>
      </c>
      <c r="C1103" s="4">
        <f t="shared" ref="C1103:M1103" si="563">(0.0181224344560457/(0.0328453630665826+0.350336698877979+0.0822572721273277+0.0181224344560457+0.178561789731549)) * 0.00452326286954228%</f>
        <v>1.2380247441463248E-6</v>
      </c>
      <c r="D1103" s="4">
        <f t="shared" si="563"/>
        <v>1.2380247441463248E-6</v>
      </c>
      <c r="E1103" s="4">
        <f t="shared" si="563"/>
        <v>1.2380247441463248E-6</v>
      </c>
      <c r="F1103" s="4">
        <f t="shared" si="563"/>
        <v>1.2380247441463248E-6</v>
      </c>
      <c r="G1103" s="4">
        <f t="shared" si="563"/>
        <v>1.2380247441463248E-6</v>
      </c>
      <c r="H1103" s="4">
        <f t="shared" si="563"/>
        <v>1.2380247441463248E-6</v>
      </c>
      <c r="I1103" s="4">
        <f t="shared" si="563"/>
        <v>1.2380247441463248E-6</v>
      </c>
      <c r="J1103" s="4">
        <f t="shared" si="563"/>
        <v>1.2380247441463248E-6</v>
      </c>
      <c r="K1103" s="4">
        <f t="shared" si="563"/>
        <v>1.2380247441463248E-6</v>
      </c>
      <c r="L1103" s="4">
        <f t="shared" si="563"/>
        <v>1.2380247441463248E-6</v>
      </c>
      <c r="M1103" s="4">
        <f t="shared" si="563"/>
        <v>1.2380247441463248E-6</v>
      </c>
      <c r="N1103" t="s">
        <v>256</v>
      </c>
      <c r="O1103" t="s">
        <v>280</v>
      </c>
      <c r="P1103" t="s">
        <v>351</v>
      </c>
      <c r="Q1103" s="4" t="s">
        <v>245</v>
      </c>
    </row>
    <row r="1104" spans="1:17" x14ac:dyDescent="0.25">
      <c r="A1104" t="s">
        <v>565</v>
      </c>
      <c r="B1104" t="s">
        <v>189</v>
      </c>
      <c r="C1104" s="4">
        <f t="shared" ref="C1104:M1104" si="564">(0.178561789731549/(0.0328453630665826+0.350336698877979+0.0822572721273277+0.0181224344560457+0.178561789731549)) * 0.00452326286954228%</f>
        <v>1.2198356384341242E-5</v>
      </c>
      <c r="D1104" s="4">
        <f t="shared" si="564"/>
        <v>1.2198356384341242E-5</v>
      </c>
      <c r="E1104" s="4">
        <f t="shared" si="564"/>
        <v>1.2198356384341242E-5</v>
      </c>
      <c r="F1104" s="4">
        <f t="shared" si="564"/>
        <v>1.2198356384341242E-5</v>
      </c>
      <c r="G1104" s="4">
        <f t="shared" si="564"/>
        <v>1.2198356384341242E-5</v>
      </c>
      <c r="H1104" s="4">
        <f t="shared" si="564"/>
        <v>1.2198356384341242E-5</v>
      </c>
      <c r="I1104" s="4">
        <f t="shared" si="564"/>
        <v>1.2198356384341242E-5</v>
      </c>
      <c r="J1104" s="4">
        <f t="shared" si="564"/>
        <v>1.2198356384341242E-5</v>
      </c>
      <c r="K1104" s="4">
        <f t="shared" si="564"/>
        <v>1.2198356384341242E-5</v>
      </c>
      <c r="L1104" s="4">
        <f t="shared" si="564"/>
        <v>1.2198356384341242E-5</v>
      </c>
      <c r="M1104" s="4">
        <f t="shared" si="564"/>
        <v>1.2198356384341242E-5</v>
      </c>
      <c r="N1104" t="s">
        <v>256</v>
      </c>
      <c r="O1104" t="s">
        <v>354</v>
      </c>
      <c r="P1104" t="s">
        <v>351</v>
      </c>
      <c r="Q1104" s="4" t="s">
        <v>245</v>
      </c>
    </row>
    <row r="1105" spans="1:17" x14ac:dyDescent="0.25">
      <c r="A1105" t="s">
        <v>565</v>
      </c>
      <c r="B1105" t="s">
        <v>159</v>
      </c>
      <c r="C1105" s="4">
        <f t="shared" ref="C1105:M1105" si="565">(0.0328453630665826/(0.0328453630665826+0.350336698877979+0.0822572721273277+0.0181224344560457+0.178561789731549)) * 1.24178643311834%</f>
        <v>6.1600173771409914E-4</v>
      </c>
      <c r="D1105" s="4">
        <f t="shared" si="565"/>
        <v>6.1600173771409914E-4</v>
      </c>
      <c r="E1105" s="4">
        <f t="shared" si="565"/>
        <v>6.1600173771409914E-4</v>
      </c>
      <c r="F1105" s="4">
        <f t="shared" si="565"/>
        <v>6.1600173771409914E-4</v>
      </c>
      <c r="G1105" s="4">
        <f t="shared" si="565"/>
        <v>6.1600173771409914E-4</v>
      </c>
      <c r="H1105" s="4">
        <f t="shared" si="565"/>
        <v>6.1600173771409914E-4</v>
      </c>
      <c r="I1105" s="4">
        <f t="shared" si="565"/>
        <v>6.1600173771409914E-4</v>
      </c>
      <c r="J1105" s="4">
        <f t="shared" si="565"/>
        <v>6.1600173771409914E-4</v>
      </c>
      <c r="K1105" s="4">
        <f t="shared" si="565"/>
        <v>6.1600173771409914E-4</v>
      </c>
      <c r="L1105" s="4">
        <f t="shared" si="565"/>
        <v>6.1600173771409914E-4</v>
      </c>
      <c r="M1105" s="4">
        <f t="shared" si="565"/>
        <v>6.1600173771409914E-4</v>
      </c>
      <c r="N1105" t="s">
        <v>242</v>
      </c>
      <c r="O1105" t="s">
        <v>358</v>
      </c>
      <c r="P1105" t="s">
        <v>351</v>
      </c>
      <c r="Q1105" s="4" t="s">
        <v>245</v>
      </c>
    </row>
    <row r="1106" spans="1:17" x14ac:dyDescent="0.25">
      <c r="A1106" t="s">
        <v>565</v>
      </c>
      <c r="B1106" t="s">
        <v>159</v>
      </c>
      <c r="C1106" s="4">
        <f t="shared" ref="C1106:M1106" si="566">(0.350336698877979/(0.0328453630665826+0.350336698877979+0.0822572721273277+0.0181224344560457+0.178561789731549)) * 1.24178643311834%</f>
        <v>6.5704256292244394E-3</v>
      </c>
      <c r="D1106" s="4">
        <f t="shared" si="566"/>
        <v>6.5704256292244394E-3</v>
      </c>
      <c r="E1106" s="4">
        <f t="shared" si="566"/>
        <v>6.5704256292244394E-3</v>
      </c>
      <c r="F1106" s="4">
        <f t="shared" si="566"/>
        <v>6.5704256292244394E-3</v>
      </c>
      <c r="G1106" s="4">
        <f t="shared" si="566"/>
        <v>6.5704256292244394E-3</v>
      </c>
      <c r="H1106" s="4">
        <f t="shared" si="566"/>
        <v>6.5704256292244394E-3</v>
      </c>
      <c r="I1106" s="4">
        <f t="shared" si="566"/>
        <v>6.5704256292244394E-3</v>
      </c>
      <c r="J1106" s="4">
        <f t="shared" si="566"/>
        <v>6.5704256292244394E-3</v>
      </c>
      <c r="K1106" s="4">
        <f t="shared" si="566"/>
        <v>6.5704256292244394E-3</v>
      </c>
      <c r="L1106" s="4">
        <f t="shared" si="566"/>
        <v>6.5704256292244394E-3</v>
      </c>
      <c r="M1106" s="4">
        <f t="shared" si="566"/>
        <v>6.5704256292244394E-3</v>
      </c>
      <c r="N1106" t="s">
        <v>256</v>
      </c>
      <c r="O1106" t="s">
        <v>356</v>
      </c>
      <c r="P1106" t="s">
        <v>351</v>
      </c>
      <c r="Q1106" s="4" t="s">
        <v>245</v>
      </c>
    </row>
    <row r="1107" spans="1:17" x14ac:dyDescent="0.25">
      <c r="A1107" t="s">
        <v>565</v>
      </c>
      <c r="B1107" t="s">
        <v>159</v>
      </c>
      <c r="C1107" s="4">
        <f t="shared" ref="C1107:M1107" si="567">(0.0822572721273277/(0.0328453630665826+0.350336698877979+0.0822572721273277+0.0181224344560457+0.178561789731549)) * 1.24178643311834%</f>
        <v>1.5427024651040772E-3</v>
      </c>
      <c r="D1107" s="4">
        <f t="shared" si="567"/>
        <v>1.5427024651040772E-3</v>
      </c>
      <c r="E1107" s="4">
        <f t="shared" si="567"/>
        <v>1.5427024651040772E-3</v>
      </c>
      <c r="F1107" s="4">
        <f t="shared" si="567"/>
        <v>1.5427024651040772E-3</v>
      </c>
      <c r="G1107" s="4">
        <f t="shared" si="567"/>
        <v>1.5427024651040772E-3</v>
      </c>
      <c r="H1107" s="4">
        <f t="shared" si="567"/>
        <v>1.5427024651040772E-3</v>
      </c>
      <c r="I1107" s="4">
        <f t="shared" si="567"/>
        <v>1.5427024651040772E-3</v>
      </c>
      <c r="J1107" s="4">
        <f t="shared" si="567"/>
        <v>1.5427024651040772E-3</v>
      </c>
      <c r="K1107" s="4">
        <f t="shared" si="567"/>
        <v>1.5427024651040772E-3</v>
      </c>
      <c r="L1107" s="4">
        <f t="shared" si="567"/>
        <v>1.5427024651040772E-3</v>
      </c>
      <c r="M1107" s="4">
        <f t="shared" si="567"/>
        <v>1.5427024651040772E-3</v>
      </c>
      <c r="N1107" t="s">
        <v>256</v>
      </c>
      <c r="O1107" t="s">
        <v>353</v>
      </c>
      <c r="P1107" t="s">
        <v>351</v>
      </c>
      <c r="Q1107" s="4" t="s">
        <v>245</v>
      </c>
    </row>
    <row r="1108" spans="1:17" x14ac:dyDescent="0.25">
      <c r="A1108" t="s">
        <v>565</v>
      </c>
      <c r="B1108" t="s">
        <v>159</v>
      </c>
      <c r="C1108" s="4">
        <f t="shared" ref="C1108:M1108" si="568">(0.0181224344560457/(0.0328453630665826+0.350336698877979+0.0822572721273277+0.0181224344560457+0.178561789731549)) * 1.24178643311834%</f>
        <v>3.3987905975963741E-4</v>
      </c>
      <c r="D1108" s="4">
        <f t="shared" si="568"/>
        <v>3.3987905975963741E-4</v>
      </c>
      <c r="E1108" s="4">
        <f t="shared" si="568"/>
        <v>3.3987905975963741E-4</v>
      </c>
      <c r="F1108" s="4">
        <f t="shared" si="568"/>
        <v>3.3987905975963741E-4</v>
      </c>
      <c r="G1108" s="4">
        <f t="shared" si="568"/>
        <v>3.3987905975963741E-4</v>
      </c>
      <c r="H1108" s="4">
        <f t="shared" si="568"/>
        <v>3.3987905975963741E-4</v>
      </c>
      <c r="I1108" s="4">
        <f t="shared" si="568"/>
        <v>3.3987905975963741E-4</v>
      </c>
      <c r="J1108" s="4">
        <f t="shared" si="568"/>
        <v>3.3987905975963741E-4</v>
      </c>
      <c r="K1108" s="4">
        <f t="shared" si="568"/>
        <v>3.3987905975963741E-4</v>
      </c>
      <c r="L1108" s="4">
        <f t="shared" si="568"/>
        <v>3.3987905975963741E-4</v>
      </c>
      <c r="M1108" s="4">
        <f t="shared" si="568"/>
        <v>3.3987905975963741E-4</v>
      </c>
      <c r="N1108" t="s">
        <v>256</v>
      </c>
      <c r="O1108" t="s">
        <v>280</v>
      </c>
      <c r="P1108" t="s">
        <v>351</v>
      </c>
      <c r="Q1108" s="4" t="s">
        <v>245</v>
      </c>
    </row>
    <row r="1109" spans="1:17" x14ac:dyDescent="0.25">
      <c r="A1109" t="s">
        <v>565</v>
      </c>
      <c r="B1109" t="s">
        <v>159</v>
      </c>
      <c r="C1109" s="4">
        <f t="shared" ref="C1109:M1109" si="569">(0.178561789731549/(0.0328453630665826+0.350336698877979+0.0822572721273277+0.0181224344560457+0.178561789731549)) * 1.24178643311834%</f>
        <v>3.3488554393811465E-3</v>
      </c>
      <c r="D1109" s="4">
        <f t="shared" si="569"/>
        <v>3.3488554393811465E-3</v>
      </c>
      <c r="E1109" s="4">
        <f t="shared" si="569"/>
        <v>3.3488554393811465E-3</v>
      </c>
      <c r="F1109" s="4">
        <f t="shared" si="569"/>
        <v>3.3488554393811465E-3</v>
      </c>
      <c r="G1109" s="4">
        <f t="shared" si="569"/>
        <v>3.3488554393811465E-3</v>
      </c>
      <c r="H1109" s="4">
        <f t="shared" si="569"/>
        <v>3.3488554393811465E-3</v>
      </c>
      <c r="I1109" s="4">
        <f t="shared" si="569"/>
        <v>3.3488554393811465E-3</v>
      </c>
      <c r="J1109" s="4">
        <f t="shared" si="569"/>
        <v>3.3488554393811465E-3</v>
      </c>
      <c r="K1109" s="4">
        <f t="shared" si="569"/>
        <v>3.3488554393811465E-3</v>
      </c>
      <c r="L1109" s="4">
        <f t="shared" si="569"/>
        <v>3.3488554393811465E-3</v>
      </c>
      <c r="M1109" s="4">
        <f t="shared" si="569"/>
        <v>3.3488554393811465E-3</v>
      </c>
      <c r="N1109" t="s">
        <v>256</v>
      </c>
      <c r="O1109" t="s">
        <v>354</v>
      </c>
      <c r="P1109" t="s">
        <v>351</v>
      </c>
      <c r="Q1109" s="4" t="s">
        <v>245</v>
      </c>
    </row>
    <row r="1110" spans="1:17" x14ac:dyDescent="0.25">
      <c r="A1110" t="s">
        <v>565</v>
      </c>
      <c r="B1110" t="s">
        <v>190</v>
      </c>
      <c r="C1110" s="4">
        <f t="shared" ref="C1110:M1110" si="570">(0.0328453630665826/(0.0328453630665826+0.350336698877979+0.0822572721273277+0.0181224344560457+0.178561789731549)) * 0.0823414772771477%</f>
        <v>4.0846390116612939E-5</v>
      </c>
      <c r="D1110" s="4">
        <f t="shared" si="570"/>
        <v>4.0846390116612939E-5</v>
      </c>
      <c r="E1110" s="4">
        <f t="shared" si="570"/>
        <v>4.0846390116612939E-5</v>
      </c>
      <c r="F1110" s="4">
        <f t="shared" si="570"/>
        <v>4.0846390116612939E-5</v>
      </c>
      <c r="G1110" s="4">
        <f t="shared" si="570"/>
        <v>4.0846390116612939E-5</v>
      </c>
      <c r="H1110" s="4">
        <f t="shared" si="570"/>
        <v>4.0846390116612939E-5</v>
      </c>
      <c r="I1110" s="4">
        <f t="shared" si="570"/>
        <v>4.0846390116612939E-5</v>
      </c>
      <c r="J1110" s="4">
        <f t="shared" si="570"/>
        <v>4.0846390116612939E-5</v>
      </c>
      <c r="K1110" s="4">
        <f t="shared" si="570"/>
        <v>4.0846390116612939E-5</v>
      </c>
      <c r="L1110" s="4">
        <f t="shared" si="570"/>
        <v>4.0846390116612939E-5</v>
      </c>
      <c r="M1110" s="4">
        <f t="shared" si="570"/>
        <v>4.0846390116612939E-5</v>
      </c>
      <c r="N1110" t="s">
        <v>242</v>
      </c>
      <c r="O1110" t="s">
        <v>358</v>
      </c>
      <c r="P1110" t="s">
        <v>351</v>
      </c>
      <c r="Q1110" s="4" t="s">
        <v>245</v>
      </c>
    </row>
    <row r="1111" spans="1:17" x14ac:dyDescent="0.25">
      <c r="A1111" t="s">
        <v>565</v>
      </c>
      <c r="B1111" t="s">
        <v>190</v>
      </c>
      <c r="C1111" s="4">
        <f t="shared" ref="C1111:M1111" si="571">(0.350336698877979/(0.0328453630665826+0.350336698877979+0.0822572721273277+0.0181224344560457+0.178561789731549)) * 0.0823414772771477%</f>
        <v>4.3567761590967155E-4</v>
      </c>
      <c r="D1111" s="4">
        <f t="shared" si="571"/>
        <v>4.3567761590967155E-4</v>
      </c>
      <c r="E1111" s="4">
        <f t="shared" si="571"/>
        <v>4.3567761590967155E-4</v>
      </c>
      <c r="F1111" s="4">
        <f t="shared" si="571"/>
        <v>4.3567761590967155E-4</v>
      </c>
      <c r="G1111" s="4">
        <f t="shared" si="571"/>
        <v>4.3567761590967155E-4</v>
      </c>
      <c r="H1111" s="4">
        <f t="shared" si="571"/>
        <v>4.3567761590967155E-4</v>
      </c>
      <c r="I1111" s="4">
        <f t="shared" si="571"/>
        <v>4.3567761590967155E-4</v>
      </c>
      <c r="J1111" s="4">
        <f t="shared" si="571"/>
        <v>4.3567761590967155E-4</v>
      </c>
      <c r="K1111" s="4">
        <f t="shared" si="571"/>
        <v>4.3567761590967155E-4</v>
      </c>
      <c r="L1111" s="4">
        <f t="shared" si="571"/>
        <v>4.3567761590967155E-4</v>
      </c>
      <c r="M1111" s="4">
        <f t="shared" si="571"/>
        <v>4.3567761590967155E-4</v>
      </c>
      <c r="N1111" t="s">
        <v>256</v>
      </c>
      <c r="O1111" t="s">
        <v>356</v>
      </c>
      <c r="P1111" t="s">
        <v>351</v>
      </c>
      <c r="Q1111" s="4" t="s">
        <v>245</v>
      </c>
    </row>
    <row r="1112" spans="1:17" x14ac:dyDescent="0.25">
      <c r="A1112" t="s">
        <v>565</v>
      </c>
      <c r="B1112" t="s">
        <v>190</v>
      </c>
      <c r="C1112" s="4">
        <f t="shared" ref="C1112:M1112" si="572">(0.0822572721273277/(0.0328453630665826+0.350336698877979+0.0822572721273277+0.0181224344560457+0.178561789731549)) * 0.0823414772771477%</f>
        <v>1.0229488468220489E-4</v>
      </c>
      <c r="D1112" s="4">
        <f t="shared" si="572"/>
        <v>1.0229488468220489E-4</v>
      </c>
      <c r="E1112" s="4">
        <f t="shared" si="572"/>
        <v>1.0229488468220489E-4</v>
      </c>
      <c r="F1112" s="4">
        <f t="shared" si="572"/>
        <v>1.0229488468220489E-4</v>
      </c>
      <c r="G1112" s="4">
        <f t="shared" si="572"/>
        <v>1.0229488468220489E-4</v>
      </c>
      <c r="H1112" s="4">
        <f t="shared" si="572"/>
        <v>1.0229488468220489E-4</v>
      </c>
      <c r="I1112" s="4">
        <f t="shared" si="572"/>
        <v>1.0229488468220489E-4</v>
      </c>
      <c r="J1112" s="4">
        <f t="shared" si="572"/>
        <v>1.0229488468220489E-4</v>
      </c>
      <c r="K1112" s="4">
        <f t="shared" si="572"/>
        <v>1.0229488468220489E-4</v>
      </c>
      <c r="L1112" s="4">
        <f t="shared" si="572"/>
        <v>1.0229488468220489E-4</v>
      </c>
      <c r="M1112" s="4">
        <f t="shared" si="572"/>
        <v>1.0229488468220489E-4</v>
      </c>
      <c r="N1112" t="s">
        <v>256</v>
      </c>
      <c r="O1112" t="s">
        <v>353</v>
      </c>
      <c r="P1112" t="s">
        <v>351</v>
      </c>
      <c r="Q1112" s="4" t="s">
        <v>245</v>
      </c>
    </row>
    <row r="1113" spans="1:17" x14ac:dyDescent="0.25">
      <c r="A1113" t="s">
        <v>565</v>
      </c>
      <c r="B1113" t="s">
        <v>190</v>
      </c>
      <c r="C1113" s="4">
        <f t="shared" ref="C1113:M1113" si="573">(0.0181224344560457/(0.0328453630665826+0.350336698877979+0.0822572721273277+0.0181224344560457+0.178561789731549)) * 0.0823414772771477%</f>
        <v>2.2537002442439701E-5</v>
      </c>
      <c r="D1113" s="4">
        <f t="shared" si="573"/>
        <v>2.2537002442439701E-5</v>
      </c>
      <c r="E1113" s="4">
        <f t="shared" si="573"/>
        <v>2.2537002442439701E-5</v>
      </c>
      <c r="F1113" s="4">
        <f t="shared" si="573"/>
        <v>2.2537002442439701E-5</v>
      </c>
      <c r="G1113" s="4">
        <f t="shared" si="573"/>
        <v>2.2537002442439701E-5</v>
      </c>
      <c r="H1113" s="4">
        <f t="shared" si="573"/>
        <v>2.2537002442439701E-5</v>
      </c>
      <c r="I1113" s="4">
        <f t="shared" si="573"/>
        <v>2.2537002442439701E-5</v>
      </c>
      <c r="J1113" s="4">
        <f t="shared" si="573"/>
        <v>2.2537002442439701E-5</v>
      </c>
      <c r="K1113" s="4">
        <f t="shared" si="573"/>
        <v>2.2537002442439701E-5</v>
      </c>
      <c r="L1113" s="4">
        <f t="shared" si="573"/>
        <v>2.2537002442439701E-5</v>
      </c>
      <c r="M1113" s="4">
        <f t="shared" si="573"/>
        <v>2.2537002442439701E-5</v>
      </c>
      <c r="N1113" t="s">
        <v>256</v>
      </c>
      <c r="O1113" t="s">
        <v>280</v>
      </c>
      <c r="P1113" t="s">
        <v>351</v>
      </c>
      <c r="Q1113" s="4" t="s">
        <v>245</v>
      </c>
    </row>
    <row r="1114" spans="1:17" x14ac:dyDescent="0.25">
      <c r="A1114" t="s">
        <v>565</v>
      </c>
      <c r="B1114" t="s">
        <v>190</v>
      </c>
      <c r="C1114" s="4">
        <f t="shared" ref="C1114:M1114" si="574">(0.178561789731549/(0.0328453630665826+0.350336698877979+0.0822572721273277+0.0181224344560457+0.178561789731549)) * 0.0823414772771477%</f>
        <v>2.2205887962054805E-4</v>
      </c>
      <c r="D1114" s="4">
        <f t="shared" si="574"/>
        <v>2.2205887962054805E-4</v>
      </c>
      <c r="E1114" s="4">
        <f t="shared" si="574"/>
        <v>2.2205887962054805E-4</v>
      </c>
      <c r="F1114" s="4">
        <f t="shared" si="574"/>
        <v>2.2205887962054805E-4</v>
      </c>
      <c r="G1114" s="4">
        <f t="shared" si="574"/>
        <v>2.2205887962054805E-4</v>
      </c>
      <c r="H1114" s="4">
        <f t="shared" si="574"/>
        <v>2.2205887962054805E-4</v>
      </c>
      <c r="I1114" s="4">
        <f t="shared" si="574"/>
        <v>2.2205887962054805E-4</v>
      </c>
      <c r="J1114" s="4">
        <f t="shared" si="574"/>
        <v>2.2205887962054805E-4</v>
      </c>
      <c r="K1114" s="4">
        <f t="shared" si="574"/>
        <v>2.2205887962054805E-4</v>
      </c>
      <c r="L1114" s="4">
        <f t="shared" si="574"/>
        <v>2.2205887962054805E-4</v>
      </c>
      <c r="M1114" s="4">
        <f t="shared" si="574"/>
        <v>2.2205887962054805E-4</v>
      </c>
      <c r="N1114" t="s">
        <v>256</v>
      </c>
      <c r="O1114" t="s">
        <v>354</v>
      </c>
      <c r="P1114" t="s">
        <v>351</v>
      </c>
      <c r="Q1114" s="4" t="s">
        <v>245</v>
      </c>
    </row>
    <row r="1115" spans="1:17" x14ac:dyDescent="0.25">
      <c r="A1115" t="s">
        <v>565</v>
      </c>
      <c r="B1115" t="s">
        <v>166</v>
      </c>
      <c r="C1115" s="4">
        <f t="shared" ref="C1115:M1115" si="575">(0.0328453630665826/(0.0328453630665826+0.350336698877979+0.0822572721273277+0.0181224344560457+0.178561789731549)) * 0.00113986224312466%</f>
        <v>5.6544112883907404E-7</v>
      </c>
      <c r="D1115" s="4">
        <f t="shared" si="575"/>
        <v>5.6544112883907404E-7</v>
      </c>
      <c r="E1115" s="4">
        <f t="shared" si="575"/>
        <v>5.6544112883907404E-7</v>
      </c>
      <c r="F1115" s="4">
        <f t="shared" si="575"/>
        <v>5.6544112883907404E-7</v>
      </c>
      <c r="G1115" s="4">
        <f t="shared" si="575"/>
        <v>5.6544112883907404E-7</v>
      </c>
      <c r="H1115" s="4">
        <f t="shared" si="575"/>
        <v>5.6544112883907404E-7</v>
      </c>
      <c r="I1115" s="4">
        <f t="shared" si="575"/>
        <v>5.6544112883907404E-7</v>
      </c>
      <c r="J1115" s="4">
        <f t="shared" si="575"/>
        <v>5.6544112883907404E-7</v>
      </c>
      <c r="K1115" s="4">
        <f t="shared" si="575"/>
        <v>5.6544112883907404E-7</v>
      </c>
      <c r="L1115" s="4">
        <f t="shared" si="575"/>
        <v>5.6544112883907404E-7</v>
      </c>
      <c r="M1115" s="4">
        <f t="shared" si="575"/>
        <v>5.6544112883907404E-7</v>
      </c>
      <c r="N1115" t="s">
        <v>242</v>
      </c>
      <c r="O1115" t="s">
        <v>358</v>
      </c>
      <c r="P1115" t="s">
        <v>351</v>
      </c>
      <c r="Q1115" s="4" t="s">
        <v>245</v>
      </c>
    </row>
    <row r="1116" spans="1:17" x14ac:dyDescent="0.25">
      <c r="A1116" t="s">
        <v>565</v>
      </c>
      <c r="B1116" t="s">
        <v>166</v>
      </c>
      <c r="C1116" s="4">
        <f t="shared" ref="C1116:M1116" si="576">(0.350336698877979/(0.0328453630665826+0.350336698877979+0.0822572721273277+0.0181224344560457+0.178561789731549)) * 0.00113986224312466%</f>
        <v>6.0311337733046415E-6</v>
      </c>
      <c r="D1116" s="4">
        <f t="shared" si="576"/>
        <v>6.0311337733046415E-6</v>
      </c>
      <c r="E1116" s="4">
        <f t="shared" si="576"/>
        <v>6.0311337733046415E-6</v>
      </c>
      <c r="F1116" s="4">
        <f t="shared" si="576"/>
        <v>6.0311337733046415E-6</v>
      </c>
      <c r="G1116" s="4">
        <f t="shared" si="576"/>
        <v>6.0311337733046415E-6</v>
      </c>
      <c r="H1116" s="4">
        <f t="shared" si="576"/>
        <v>6.0311337733046415E-6</v>
      </c>
      <c r="I1116" s="4">
        <f t="shared" si="576"/>
        <v>6.0311337733046415E-6</v>
      </c>
      <c r="J1116" s="4">
        <f t="shared" si="576"/>
        <v>6.0311337733046415E-6</v>
      </c>
      <c r="K1116" s="4">
        <f t="shared" si="576"/>
        <v>6.0311337733046415E-6</v>
      </c>
      <c r="L1116" s="4">
        <f t="shared" si="576"/>
        <v>6.0311337733046415E-6</v>
      </c>
      <c r="M1116" s="4">
        <f t="shared" si="576"/>
        <v>6.0311337733046415E-6</v>
      </c>
      <c r="N1116" t="s">
        <v>256</v>
      </c>
      <c r="O1116" t="s">
        <v>356</v>
      </c>
      <c r="P1116" t="s">
        <v>351</v>
      </c>
      <c r="Q1116" s="4" t="s">
        <v>245</v>
      </c>
    </row>
    <row r="1117" spans="1:17" x14ac:dyDescent="0.25">
      <c r="A1117" t="s">
        <v>565</v>
      </c>
      <c r="B1117" t="s">
        <v>166</v>
      </c>
      <c r="C1117" s="4">
        <f t="shared" ref="C1117:M1117" si="577">(0.0822572721273277/(0.0328453630665826+0.350336698877979+0.0822572721273277+0.0181224344560457+0.178561789731549)) * 0.00113986224312466%</f>
        <v>1.4160794847240025E-6</v>
      </c>
      <c r="D1117" s="4">
        <f t="shared" si="577"/>
        <v>1.4160794847240025E-6</v>
      </c>
      <c r="E1117" s="4">
        <f t="shared" si="577"/>
        <v>1.4160794847240025E-6</v>
      </c>
      <c r="F1117" s="4">
        <f t="shared" si="577"/>
        <v>1.4160794847240025E-6</v>
      </c>
      <c r="G1117" s="4">
        <f t="shared" si="577"/>
        <v>1.4160794847240025E-6</v>
      </c>
      <c r="H1117" s="4">
        <f t="shared" si="577"/>
        <v>1.4160794847240025E-6</v>
      </c>
      <c r="I1117" s="4">
        <f t="shared" si="577"/>
        <v>1.4160794847240025E-6</v>
      </c>
      <c r="J1117" s="4">
        <f t="shared" si="577"/>
        <v>1.4160794847240025E-6</v>
      </c>
      <c r="K1117" s="4">
        <f t="shared" si="577"/>
        <v>1.4160794847240025E-6</v>
      </c>
      <c r="L1117" s="4">
        <f t="shared" si="577"/>
        <v>1.4160794847240025E-6</v>
      </c>
      <c r="M1117" s="4">
        <f t="shared" si="577"/>
        <v>1.4160794847240025E-6</v>
      </c>
      <c r="N1117" t="s">
        <v>256</v>
      </c>
      <c r="O1117" t="s">
        <v>353</v>
      </c>
      <c r="P1117" t="s">
        <v>351</v>
      </c>
      <c r="Q1117" s="4" t="s">
        <v>245</v>
      </c>
    </row>
    <row r="1118" spans="1:17" x14ac:dyDescent="0.25">
      <c r="A1118" t="s">
        <v>565</v>
      </c>
      <c r="B1118" t="s">
        <v>166</v>
      </c>
      <c r="C1118" s="4">
        <f t="shared" ref="C1118:M1118" si="578">(0.0181224344560457/(0.0328453630665826+0.350336698877979+0.0822572721273277+0.0181224344560457+0.178561789731549)) * 0.00113986224312466%</f>
        <v>3.1198223552487527E-7</v>
      </c>
      <c r="D1118" s="4">
        <f t="shared" si="578"/>
        <v>3.1198223552487527E-7</v>
      </c>
      <c r="E1118" s="4">
        <f t="shared" si="578"/>
        <v>3.1198223552487527E-7</v>
      </c>
      <c r="F1118" s="4">
        <f t="shared" si="578"/>
        <v>3.1198223552487527E-7</v>
      </c>
      <c r="G1118" s="4">
        <f t="shared" si="578"/>
        <v>3.1198223552487527E-7</v>
      </c>
      <c r="H1118" s="4">
        <f t="shared" si="578"/>
        <v>3.1198223552487527E-7</v>
      </c>
      <c r="I1118" s="4">
        <f t="shared" si="578"/>
        <v>3.1198223552487527E-7</v>
      </c>
      <c r="J1118" s="4">
        <f t="shared" si="578"/>
        <v>3.1198223552487527E-7</v>
      </c>
      <c r="K1118" s="4">
        <f t="shared" si="578"/>
        <v>3.1198223552487527E-7</v>
      </c>
      <c r="L1118" s="4">
        <f t="shared" si="578"/>
        <v>3.1198223552487527E-7</v>
      </c>
      <c r="M1118" s="4">
        <f t="shared" si="578"/>
        <v>3.1198223552487527E-7</v>
      </c>
      <c r="N1118" t="s">
        <v>256</v>
      </c>
      <c r="O1118" t="s">
        <v>280</v>
      </c>
      <c r="P1118" t="s">
        <v>351</v>
      </c>
      <c r="Q1118" s="4" t="s">
        <v>245</v>
      </c>
    </row>
    <row r="1119" spans="1:17" x14ac:dyDescent="0.25">
      <c r="A1119" t="s">
        <v>565</v>
      </c>
      <c r="B1119" t="s">
        <v>166</v>
      </c>
      <c r="C1119" s="4">
        <f t="shared" ref="C1119:M1119" si="579">(0.178561789731549/(0.0328453630665826+0.350336698877979+0.0822572721273277+0.0181224344560457+0.178561789731549)) * 0.00113986224312466%</f>
        <v>3.0739858088540069E-6</v>
      </c>
      <c r="D1119" s="4">
        <f t="shared" si="579"/>
        <v>3.0739858088540069E-6</v>
      </c>
      <c r="E1119" s="4">
        <f t="shared" si="579"/>
        <v>3.0739858088540069E-6</v>
      </c>
      <c r="F1119" s="4">
        <f t="shared" si="579"/>
        <v>3.0739858088540069E-6</v>
      </c>
      <c r="G1119" s="4">
        <f t="shared" si="579"/>
        <v>3.0739858088540069E-6</v>
      </c>
      <c r="H1119" s="4">
        <f t="shared" si="579"/>
        <v>3.0739858088540069E-6</v>
      </c>
      <c r="I1119" s="4">
        <f t="shared" si="579"/>
        <v>3.0739858088540069E-6</v>
      </c>
      <c r="J1119" s="4">
        <f t="shared" si="579"/>
        <v>3.0739858088540069E-6</v>
      </c>
      <c r="K1119" s="4">
        <f t="shared" si="579"/>
        <v>3.0739858088540069E-6</v>
      </c>
      <c r="L1119" s="4">
        <f t="shared" si="579"/>
        <v>3.0739858088540069E-6</v>
      </c>
      <c r="M1119" s="4">
        <f t="shared" si="579"/>
        <v>3.0739858088540069E-6</v>
      </c>
      <c r="N1119" t="s">
        <v>256</v>
      </c>
      <c r="O1119" t="s">
        <v>354</v>
      </c>
      <c r="P1119" t="s">
        <v>351</v>
      </c>
      <c r="Q1119" s="4" t="s">
        <v>245</v>
      </c>
    </row>
    <row r="1120" spans="1:17" x14ac:dyDescent="0.25">
      <c r="A1120" t="s">
        <v>565</v>
      </c>
      <c r="B1120" t="s">
        <v>89</v>
      </c>
      <c r="C1120" s="4">
        <f t="shared" ref="C1120:M1120" si="580">(0.0328453630665826/(0.0328453630665826+0.350336698877979+0.0822572721273277+0.0181224344560457+0.178561789731549)) * 0.917197089599987%</f>
        <v>4.5498564483516409E-4</v>
      </c>
      <c r="D1120" s="4">
        <f t="shared" si="580"/>
        <v>4.5498564483516409E-4</v>
      </c>
      <c r="E1120" s="4">
        <f t="shared" si="580"/>
        <v>4.5498564483516409E-4</v>
      </c>
      <c r="F1120" s="4">
        <f t="shared" si="580"/>
        <v>4.5498564483516409E-4</v>
      </c>
      <c r="G1120" s="4">
        <f t="shared" si="580"/>
        <v>4.5498564483516409E-4</v>
      </c>
      <c r="H1120" s="4">
        <f t="shared" si="580"/>
        <v>4.5498564483516409E-4</v>
      </c>
      <c r="I1120" s="4">
        <f t="shared" si="580"/>
        <v>4.5498564483516409E-4</v>
      </c>
      <c r="J1120" s="4">
        <f t="shared" si="580"/>
        <v>4.5498564483516409E-4</v>
      </c>
      <c r="K1120" s="4">
        <f t="shared" si="580"/>
        <v>4.5498564483516409E-4</v>
      </c>
      <c r="L1120" s="4">
        <f t="shared" si="580"/>
        <v>4.5498564483516409E-4</v>
      </c>
      <c r="M1120" s="4">
        <f t="shared" si="580"/>
        <v>4.5498564483516409E-4</v>
      </c>
      <c r="N1120" t="s">
        <v>242</v>
      </c>
      <c r="O1120" t="s">
        <v>358</v>
      </c>
      <c r="P1120" t="s">
        <v>351</v>
      </c>
      <c r="Q1120" s="4" t="s">
        <v>245</v>
      </c>
    </row>
    <row r="1121" spans="1:17" x14ac:dyDescent="0.25">
      <c r="A1121" t="s">
        <v>565</v>
      </c>
      <c r="B1121" t="s">
        <v>89</v>
      </c>
      <c r="C1121" s="4">
        <f t="shared" ref="C1121:M1121" si="581">(0.350336698877979/(0.0328453630665826+0.350336698877979+0.0822572721273277+0.0181224344560457+0.178561789731549)) * 0.917197089599987%</f>
        <v>4.8529884880643692E-3</v>
      </c>
      <c r="D1121" s="4">
        <f t="shared" si="581"/>
        <v>4.8529884880643692E-3</v>
      </c>
      <c r="E1121" s="4">
        <f t="shared" si="581"/>
        <v>4.8529884880643692E-3</v>
      </c>
      <c r="F1121" s="4">
        <f t="shared" si="581"/>
        <v>4.8529884880643692E-3</v>
      </c>
      <c r="G1121" s="4">
        <f t="shared" si="581"/>
        <v>4.8529884880643692E-3</v>
      </c>
      <c r="H1121" s="4">
        <f t="shared" si="581"/>
        <v>4.8529884880643692E-3</v>
      </c>
      <c r="I1121" s="4">
        <f t="shared" si="581"/>
        <v>4.8529884880643692E-3</v>
      </c>
      <c r="J1121" s="4">
        <f t="shared" si="581"/>
        <v>4.8529884880643692E-3</v>
      </c>
      <c r="K1121" s="4">
        <f t="shared" si="581"/>
        <v>4.8529884880643692E-3</v>
      </c>
      <c r="L1121" s="4">
        <f t="shared" si="581"/>
        <v>4.8529884880643692E-3</v>
      </c>
      <c r="M1121" s="4">
        <f t="shared" si="581"/>
        <v>4.8529884880643692E-3</v>
      </c>
      <c r="N1121" t="s">
        <v>256</v>
      </c>
      <c r="O1121" t="s">
        <v>356</v>
      </c>
      <c r="P1121" t="s">
        <v>351</v>
      </c>
      <c r="Q1121" s="4" t="s">
        <v>245</v>
      </c>
    </row>
    <row r="1122" spans="1:17" x14ac:dyDescent="0.25">
      <c r="A1122" t="s">
        <v>565</v>
      </c>
      <c r="B1122" t="s">
        <v>89</v>
      </c>
      <c r="C1122" s="4">
        <f t="shared" ref="C1122:M1122" si="582">(0.0822572721273277/(0.0328453630665826+0.350336698877979+0.0822572721273277+0.0181224344560457+0.178561789731549)) * 0.917197089599987%</f>
        <v>1.1394569737398167E-3</v>
      </c>
      <c r="D1122" s="4">
        <f t="shared" si="582"/>
        <v>1.1394569737398167E-3</v>
      </c>
      <c r="E1122" s="4">
        <f t="shared" si="582"/>
        <v>1.1394569737398167E-3</v>
      </c>
      <c r="F1122" s="4">
        <f t="shared" si="582"/>
        <v>1.1394569737398167E-3</v>
      </c>
      <c r="G1122" s="4">
        <f t="shared" si="582"/>
        <v>1.1394569737398167E-3</v>
      </c>
      <c r="H1122" s="4">
        <f t="shared" si="582"/>
        <v>1.1394569737398167E-3</v>
      </c>
      <c r="I1122" s="4">
        <f t="shared" si="582"/>
        <v>1.1394569737398167E-3</v>
      </c>
      <c r="J1122" s="4">
        <f t="shared" si="582"/>
        <v>1.1394569737398167E-3</v>
      </c>
      <c r="K1122" s="4">
        <f t="shared" si="582"/>
        <v>1.1394569737398167E-3</v>
      </c>
      <c r="L1122" s="4">
        <f t="shared" si="582"/>
        <v>1.1394569737398167E-3</v>
      </c>
      <c r="M1122" s="4">
        <f t="shared" si="582"/>
        <v>1.1394569737398167E-3</v>
      </c>
      <c r="N1122" t="s">
        <v>256</v>
      </c>
      <c r="O1122" t="s">
        <v>353</v>
      </c>
      <c r="P1122" t="s">
        <v>351</v>
      </c>
      <c r="Q1122" s="4" t="s">
        <v>245</v>
      </c>
    </row>
    <row r="1123" spans="1:17" x14ac:dyDescent="0.25">
      <c r="A1123" t="s">
        <v>565</v>
      </c>
      <c r="B1123" t="s">
        <v>89</v>
      </c>
      <c r="C1123" s="4">
        <f t="shared" ref="C1123:M1123" si="583">(0.0181224344560457/(0.0328453630665826+0.350336698877979+0.0822572721273277+0.0181224344560457+0.178561789731549)) * 0.917197089599987%</f>
        <v>2.5103840411969748E-4</v>
      </c>
      <c r="D1123" s="4">
        <f t="shared" si="583"/>
        <v>2.5103840411969748E-4</v>
      </c>
      <c r="E1123" s="4">
        <f t="shared" si="583"/>
        <v>2.5103840411969748E-4</v>
      </c>
      <c r="F1123" s="4">
        <f t="shared" si="583"/>
        <v>2.5103840411969748E-4</v>
      </c>
      <c r="G1123" s="4">
        <f t="shared" si="583"/>
        <v>2.5103840411969748E-4</v>
      </c>
      <c r="H1123" s="4">
        <f t="shared" si="583"/>
        <v>2.5103840411969748E-4</v>
      </c>
      <c r="I1123" s="4">
        <f t="shared" si="583"/>
        <v>2.5103840411969748E-4</v>
      </c>
      <c r="J1123" s="4">
        <f t="shared" si="583"/>
        <v>2.5103840411969748E-4</v>
      </c>
      <c r="K1123" s="4">
        <f t="shared" si="583"/>
        <v>2.5103840411969748E-4</v>
      </c>
      <c r="L1123" s="4">
        <f t="shared" si="583"/>
        <v>2.5103840411969748E-4</v>
      </c>
      <c r="M1123" s="4">
        <f t="shared" si="583"/>
        <v>2.5103840411969748E-4</v>
      </c>
      <c r="N1123" t="s">
        <v>256</v>
      </c>
      <c r="O1123" t="s">
        <v>280</v>
      </c>
      <c r="P1123" t="s">
        <v>351</v>
      </c>
      <c r="Q1123" s="4" t="s">
        <v>245</v>
      </c>
    </row>
    <row r="1124" spans="1:17" x14ac:dyDescent="0.25">
      <c r="A1124" t="s">
        <v>565</v>
      </c>
      <c r="B1124" t="s">
        <v>89</v>
      </c>
      <c r="C1124" s="4">
        <f t="shared" ref="C1124:M1124" si="584">(0.178561789731549/(0.0328453630665826+0.350336698877979+0.0822572721273277+0.0181224344560457+0.178561789731549)) * 0.917197089599987%</f>
        <v>2.4735013852408222E-3</v>
      </c>
      <c r="D1124" s="4">
        <f t="shared" si="584"/>
        <v>2.4735013852408222E-3</v>
      </c>
      <c r="E1124" s="4">
        <f t="shared" si="584"/>
        <v>2.4735013852408222E-3</v>
      </c>
      <c r="F1124" s="4">
        <f t="shared" si="584"/>
        <v>2.4735013852408222E-3</v>
      </c>
      <c r="G1124" s="4">
        <f t="shared" si="584"/>
        <v>2.4735013852408222E-3</v>
      </c>
      <c r="H1124" s="4">
        <f t="shared" si="584"/>
        <v>2.4735013852408222E-3</v>
      </c>
      <c r="I1124" s="4">
        <f t="shared" si="584"/>
        <v>2.4735013852408222E-3</v>
      </c>
      <c r="J1124" s="4">
        <f t="shared" si="584"/>
        <v>2.4735013852408222E-3</v>
      </c>
      <c r="K1124" s="4">
        <f t="shared" si="584"/>
        <v>2.4735013852408222E-3</v>
      </c>
      <c r="L1124" s="4">
        <f t="shared" si="584"/>
        <v>2.4735013852408222E-3</v>
      </c>
      <c r="M1124" s="4">
        <f t="shared" si="584"/>
        <v>2.4735013852408222E-3</v>
      </c>
      <c r="N1124" t="s">
        <v>256</v>
      </c>
      <c r="O1124" t="s">
        <v>354</v>
      </c>
      <c r="P1124" t="s">
        <v>351</v>
      </c>
      <c r="Q1124" s="4" t="s">
        <v>245</v>
      </c>
    </row>
    <row r="1125" spans="1:17" x14ac:dyDescent="0.25">
      <c r="A1125" t="s">
        <v>565</v>
      </c>
      <c r="B1125" t="s">
        <v>167</v>
      </c>
      <c r="C1125" s="4">
        <f t="shared" ref="C1125:M1125" si="585">(0.0328453630665826/(0.0328453630665826+0.350336698877979+0.0822572721273277+0.0181224344560457+0.178561789731549)) * 0.256758493526698%</f>
        <v>1.2736785808500418E-4</v>
      </c>
      <c r="D1125" s="4">
        <f t="shared" si="585"/>
        <v>1.2736785808500418E-4</v>
      </c>
      <c r="E1125" s="4">
        <f t="shared" si="585"/>
        <v>1.2736785808500418E-4</v>
      </c>
      <c r="F1125" s="4">
        <f t="shared" si="585"/>
        <v>1.2736785808500418E-4</v>
      </c>
      <c r="G1125" s="4">
        <f t="shared" si="585"/>
        <v>1.2736785808500418E-4</v>
      </c>
      <c r="H1125" s="4">
        <f t="shared" si="585"/>
        <v>1.2736785808500418E-4</v>
      </c>
      <c r="I1125" s="4">
        <f t="shared" si="585"/>
        <v>1.2736785808500418E-4</v>
      </c>
      <c r="J1125" s="4">
        <f t="shared" si="585"/>
        <v>1.2736785808500418E-4</v>
      </c>
      <c r="K1125" s="4">
        <f t="shared" si="585"/>
        <v>1.2736785808500418E-4</v>
      </c>
      <c r="L1125" s="4">
        <f t="shared" si="585"/>
        <v>1.2736785808500418E-4</v>
      </c>
      <c r="M1125" s="4">
        <f t="shared" si="585"/>
        <v>1.2736785808500418E-4</v>
      </c>
      <c r="N1125" t="s">
        <v>242</v>
      </c>
      <c r="O1125" t="s">
        <v>358</v>
      </c>
      <c r="P1125" t="s">
        <v>351</v>
      </c>
      <c r="Q1125" s="4" t="s">
        <v>245</v>
      </c>
    </row>
    <row r="1126" spans="1:17" x14ac:dyDescent="0.25">
      <c r="A1126" t="s">
        <v>565</v>
      </c>
      <c r="B1126" t="s">
        <v>167</v>
      </c>
      <c r="C1126" s="4">
        <f t="shared" ref="C1126:M1126" si="586">(0.350336698877979/(0.0328453630665826+0.350336698877979+0.0822572721273277+0.0181224344560457+0.178561789731549)) * 0.256758493526698%</f>
        <v>1.3585368155073932E-3</v>
      </c>
      <c r="D1126" s="4">
        <f t="shared" si="586"/>
        <v>1.3585368155073932E-3</v>
      </c>
      <c r="E1126" s="4">
        <f t="shared" si="586"/>
        <v>1.3585368155073932E-3</v>
      </c>
      <c r="F1126" s="4">
        <f t="shared" si="586"/>
        <v>1.3585368155073932E-3</v>
      </c>
      <c r="G1126" s="4">
        <f t="shared" si="586"/>
        <v>1.3585368155073932E-3</v>
      </c>
      <c r="H1126" s="4">
        <f t="shared" si="586"/>
        <v>1.3585368155073932E-3</v>
      </c>
      <c r="I1126" s="4">
        <f t="shared" si="586"/>
        <v>1.3585368155073932E-3</v>
      </c>
      <c r="J1126" s="4">
        <f t="shared" si="586"/>
        <v>1.3585368155073932E-3</v>
      </c>
      <c r="K1126" s="4">
        <f t="shared" si="586"/>
        <v>1.3585368155073932E-3</v>
      </c>
      <c r="L1126" s="4">
        <f t="shared" si="586"/>
        <v>1.3585368155073932E-3</v>
      </c>
      <c r="M1126" s="4">
        <f t="shared" si="586"/>
        <v>1.3585368155073932E-3</v>
      </c>
      <c r="N1126" t="s">
        <v>256</v>
      </c>
      <c r="O1126" t="s">
        <v>356</v>
      </c>
      <c r="P1126" t="s">
        <v>351</v>
      </c>
      <c r="Q1126" s="4" t="s">
        <v>245</v>
      </c>
    </row>
    <row r="1127" spans="1:17" x14ac:dyDescent="0.25">
      <c r="A1127" t="s">
        <v>565</v>
      </c>
      <c r="B1127" t="s">
        <v>167</v>
      </c>
      <c r="C1127" s="4">
        <f t="shared" ref="C1127:M1127" si="587">(0.0822572721273277/(0.0328453630665826+0.350336698877979+0.0822572721273277+0.0181224344560457+0.178561789731549)) * 0.256758493526698%</f>
        <v>3.189775232971147E-4</v>
      </c>
      <c r="D1127" s="4">
        <f t="shared" si="587"/>
        <v>3.189775232971147E-4</v>
      </c>
      <c r="E1127" s="4">
        <f t="shared" si="587"/>
        <v>3.189775232971147E-4</v>
      </c>
      <c r="F1127" s="4">
        <f t="shared" si="587"/>
        <v>3.189775232971147E-4</v>
      </c>
      <c r="G1127" s="4">
        <f t="shared" si="587"/>
        <v>3.189775232971147E-4</v>
      </c>
      <c r="H1127" s="4">
        <f t="shared" si="587"/>
        <v>3.189775232971147E-4</v>
      </c>
      <c r="I1127" s="4">
        <f t="shared" si="587"/>
        <v>3.189775232971147E-4</v>
      </c>
      <c r="J1127" s="4">
        <f t="shared" si="587"/>
        <v>3.189775232971147E-4</v>
      </c>
      <c r="K1127" s="4">
        <f t="shared" si="587"/>
        <v>3.189775232971147E-4</v>
      </c>
      <c r="L1127" s="4">
        <f t="shared" si="587"/>
        <v>3.189775232971147E-4</v>
      </c>
      <c r="M1127" s="4">
        <f t="shared" si="587"/>
        <v>3.189775232971147E-4</v>
      </c>
      <c r="N1127" t="s">
        <v>256</v>
      </c>
      <c r="O1127" t="s">
        <v>353</v>
      </c>
      <c r="P1127" t="s">
        <v>351</v>
      </c>
      <c r="Q1127" s="4" t="s">
        <v>245</v>
      </c>
    </row>
    <row r="1128" spans="1:17" x14ac:dyDescent="0.25">
      <c r="A1128" t="s">
        <v>565</v>
      </c>
      <c r="B1128" t="s">
        <v>167</v>
      </c>
      <c r="C1128" s="4">
        <f t="shared" ref="C1128:M1128" si="588">(0.0181224344560457/(0.0328453630665826+0.350336698877979+0.0822572721273277+0.0181224344560457+0.178561789731549)) * 0.256758493526698%</f>
        <v>7.0275236576721972E-5</v>
      </c>
      <c r="D1128" s="4">
        <f t="shared" si="588"/>
        <v>7.0275236576721972E-5</v>
      </c>
      <c r="E1128" s="4">
        <f t="shared" si="588"/>
        <v>7.0275236576721972E-5</v>
      </c>
      <c r="F1128" s="4">
        <f t="shared" si="588"/>
        <v>7.0275236576721972E-5</v>
      </c>
      <c r="G1128" s="4">
        <f t="shared" si="588"/>
        <v>7.0275236576721972E-5</v>
      </c>
      <c r="H1128" s="4">
        <f t="shared" si="588"/>
        <v>7.0275236576721972E-5</v>
      </c>
      <c r="I1128" s="4">
        <f t="shared" si="588"/>
        <v>7.0275236576721972E-5</v>
      </c>
      <c r="J1128" s="4">
        <f t="shared" si="588"/>
        <v>7.0275236576721972E-5</v>
      </c>
      <c r="K1128" s="4">
        <f t="shared" si="588"/>
        <v>7.0275236576721972E-5</v>
      </c>
      <c r="L1128" s="4">
        <f t="shared" si="588"/>
        <v>7.0275236576721972E-5</v>
      </c>
      <c r="M1128" s="4">
        <f t="shared" si="588"/>
        <v>7.0275236576721972E-5</v>
      </c>
      <c r="N1128" t="s">
        <v>256</v>
      </c>
      <c r="O1128" t="s">
        <v>280</v>
      </c>
      <c r="P1128" t="s">
        <v>351</v>
      </c>
      <c r="Q1128" s="4" t="s">
        <v>245</v>
      </c>
    </row>
    <row r="1129" spans="1:17" x14ac:dyDescent="0.25">
      <c r="A1129" t="s">
        <v>565</v>
      </c>
      <c r="B1129" t="s">
        <v>167</v>
      </c>
      <c r="C1129" s="4">
        <f t="shared" ref="C1129:M1129" si="589">(0.178561789731549/(0.0328453630665826+0.350336698877979+0.0822572721273277+0.0181224344560457+0.178561789731549)) * 0.256758493526698%</f>
        <v>6.9242750180074626E-4</v>
      </c>
      <c r="D1129" s="4">
        <f t="shared" si="589"/>
        <v>6.9242750180074626E-4</v>
      </c>
      <c r="E1129" s="4">
        <f t="shared" si="589"/>
        <v>6.9242750180074626E-4</v>
      </c>
      <c r="F1129" s="4">
        <f t="shared" si="589"/>
        <v>6.9242750180074626E-4</v>
      </c>
      <c r="G1129" s="4">
        <f t="shared" si="589"/>
        <v>6.9242750180074626E-4</v>
      </c>
      <c r="H1129" s="4">
        <f t="shared" si="589"/>
        <v>6.9242750180074626E-4</v>
      </c>
      <c r="I1129" s="4">
        <f t="shared" si="589"/>
        <v>6.9242750180074626E-4</v>
      </c>
      <c r="J1129" s="4">
        <f t="shared" si="589"/>
        <v>6.9242750180074626E-4</v>
      </c>
      <c r="K1129" s="4">
        <f t="shared" si="589"/>
        <v>6.9242750180074626E-4</v>
      </c>
      <c r="L1129" s="4">
        <f t="shared" si="589"/>
        <v>6.9242750180074626E-4</v>
      </c>
      <c r="M1129" s="4">
        <f t="shared" si="589"/>
        <v>6.9242750180074626E-4</v>
      </c>
      <c r="N1129" t="s">
        <v>256</v>
      </c>
      <c r="O1129" t="s">
        <v>354</v>
      </c>
      <c r="P1129" t="s">
        <v>351</v>
      </c>
      <c r="Q1129" s="4" t="s">
        <v>245</v>
      </c>
    </row>
    <row r="1130" spans="1:17" x14ac:dyDescent="0.25">
      <c r="A1130" t="s">
        <v>565</v>
      </c>
      <c r="B1130" t="s">
        <v>128</v>
      </c>
      <c r="C1130" s="4">
        <f t="shared" ref="C1130:M1130" si="590">(0.0328453630665826/(0.0328453630665826+0.350336698877979+0.0822572721273277+0.0181224344560457+0.178561789731549)) * 0.443695901399142%</f>
        <v>2.2010020321461219E-4</v>
      </c>
      <c r="D1130" s="4">
        <f t="shared" si="590"/>
        <v>2.2010020321461219E-4</v>
      </c>
      <c r="E1130" s="4">
        <f t="shared" si="590"/>
        <v>2.2010020321461219E-4</v>
      </c>
      <c r="F1130" s="4">
        <f t="shared" si="590"/>
        <v>2.2010020321461219E-4</v>
      </c>
      <c r="G1130" s="4">
        <f t="shared" si="590"/>
        <v>2.2010020321461219E-4</v>
      </c>
      <c r="H1130" s="4">
        <f t="shared" si="590"/>
        <v>2.2010020321461219E-4</v>
      </c>
      <c r="I1130" s="4">
        <f t="shared" si="590"/>
        <v>2.2010020321461219E-4</v>
      </c>
      <c r="J1130" s="4">
        <f t="shared" si="590"/>
        <v>2.2010020321461219E-4</v>
      </c>
      <c r="K1130" s="4">
        <f t="shared" si="590"/>
        <v>2.2010020321461219E-4</v>
      </c>
      <c r="L1130" s="4">
        <f t="shared" si="590"/>
        <v>2.2010020321461219E-4</v>
      </c>
      <c r="M1130" s="4">
        <f t="shared" si="590"/>
        <v>2.2010020321461219E-4</v>
      </c>
      <c r="N1130" t="s">
        <v>242</v>
      </c>
      <c r="O1130" t="s">
        <v>358</v>
      </c>
      <c r="P1130" t="s">
        <v>351</v>
      </c>
      <c r="Q1130" s="4" t="s">
        <v>245</v>
      </c>
    </row>
    <row r="1131" spans="1:17" x14ac:dyDescent="0.25">
      <c r="A1131" t="s">
        <v>565</v>
      </c>
      <c r="B1131" t="s">
        <v>128</v>
      </c>
      <c r="C1131" s="4">
        <f t="shared" ref="C1131:M1131" si="591">(0.350336698877979/(0.0328453630665826+0.350336698877979+0.0822572721273277+0.0181224344560457+0.178561789731549)) * 0.443695901399142%</f>
        <v>2.3476427543293529E-3</v>
      </c>
      <c r="D1131" s="4">
        <f t="shared" si="591"/>
        <v>2.3476427543293529E-3</v>
      </c>
      <c r="E1131" s="4">
        <f t="shared" si="591"/>
        <v>2.3476427543293529E-3</v>
      </c>
      <c r="F1131" s="4">
        <f t="shared" si="591"/>
        <v>2.3476427543293529E-3</v>
      </c>
      <c r="G1131" s="4">
        <f t="shared" si="591"/>
        <v>2.3476427543293529E-3</v>
      </c>
      <c r="H1131" s="4">
        <f t="shared" si="591"/>
        <v>2.3476427543293529E-3</v>
      </c>
      <c r="I1131" s="4">
        <f t="shared" si="591"/>
        <v>2.3476427543293529E-3</v>
      </c>
      <c r="J1131" s="4">
        <f t="shared" si="591"/>
        <v>2.3476427543293529E-3</v>
      </c>
      <c r="K1131" s="4">
        <f t="shared" si="591"/>
        <v>2.3476427543293529E-3</v>
      </c>
      <c r="L1131" s="4">
        <f t="shared" si="591"/>
        <v>2.3476427543293529E-3</v>
      </c>
      <c r="M1131" s="4">
        <f t="shared" si="591"/>
        <v>2.3476427543293529E-3</v>
      </c>
      <c r="N1131" t="s">
        <v>256</v>
      </c>
      <c r="O1131" t="s">
        <v>356</v>
      </c>
      <c r="P1131" t="s">
        <v>351</v>
      </c>
      <c r="Q1131" s="4" t="s">
        <v>245</v>
      </c>
    </row>
    <row r="1132" spans="1:17" x14ac:dyDescent="0.25">
      <c r="A1132" t="s">
        <v>565</v>
      </c>
      <c r="B1132" t="s">
        <v>128</v>
      </c>
      <c r="C1132" s="4">
        <f t="shared" ref="C1132:M1132" si="592">(0.0822572721273277/(0.0328453630665826+0.350336698877979+0.0822572721273277+0.0181224344560457+0.178561789731549)) * 0.443695901399142%</f>
        <v>5.5121455879185075E-4</v>
      </c>
      <c r="D1132" s="4">
        <f t="shared" si="592"/>
        <v>5.5121455879185075E-4</v>
      </c>
      <c r="E1132" s="4">
        <f t="shared" si="592"/>
        <v>5.5121455879185075E-4</v>
      </c>
      <c r="F1132" s="4">
        <f t="shared" si="592"/>
        <v>5.5121455879185075E-4</v>
      </c>
      <c r="G1132" s="4">
        <f t="shared" si="592"/>
        <v>5.5121455879185075E-4</v>
      </c>
      <c r="H1132" s="4">
        <f t="shared" si="592"/>
        <v>5.5121455879185075E-4</v>
      </c>
      <c r="I1132" s="4">
        <f t="shared" si="592"/>
        <v>5.5121455879185075E-4</v>
      </c>
      <c r="J1132" s="4">
        <f t="shared" si="592"/>
        <v>5.5121455879185075E-4</v>
      </c>
      <c r="K1132" s="4">
        <f t="shared" si="592"/>
        <v>5.5121455879185075E-4</v>
      </c>
      <c r="L1132" s="4">
        <f t="shared" si="592"/>
        <v>5.5121455879185075E-4</v>
      </c>
      <c r="M1132" s="4">
        <f t="shared" si="592"/>
        <v>5.5121455879185075E-4</v>
      </c>
      <c r="N1132" t="s">
        <v>256</v>
      </c>
      <c r="O1132" t="s">
        <v>353</v>
      </c>
      <c r="P1132" t="s">
        <v>351</v>
      </c>
      <c r="Q1132" s="4" t="s">
        <v>245</v>
      </c>
    </row>
    <row r="1133" spans="1:17" x14ac:dyDescent="0.25">
      <c r="A1133" t="s">
        <v>565</v>
      </c>
      <c r="B1133" t="s">
        <v>128</v>
      </c>
      <c r="C1133" s="4">
        <f t="shared" ref="C1133:M1133" si="593">(0.0181224344560457/(0.0328453630665826+0.350336698877979+0.0822572721273277+0.0181224344560457+0.178561789731549)) * 0.443695901399142%</f>
        <v>1.2144032320280144E-4</v>
      </c>
      <c r="D1133" s="4">
        <f t="shared" si="593"/>
        <v>1.2144032320280144E-4</v>
      </c>
      <c r="E1133" s="4">
        <f t="shared" si="593"/>
        <v>1.2144032320280144E-4</v>
      </c>
      <c r="F1133" s="4">
        <f t="shared" si="593"/>
        <v>1.2144032320280144E-4</v>
      </c>
      <c r="G1133" s="4">
        <f t="shared" si="593"/>
        <v>1.2144032320280144E-4</v>
      </c>
      <c r="H1133" s="4">
        <f t="shared" si="593"/>
        <v>1.2144032320280144E-4</v>
      </c>
      <c r="I1133" s="4">
        <f t="shared" si="593"/>
        <v>1.2144032320280144E-4</v>
      </c>
      <c r="J1133" s="4">
        <f t="shared" si="593"/>
        <v>1.2144032320280144E-4</v>
      </c>
      <c r="K1133" s="4">
        <f t="shared" si="593"/>
        <v>1.2144032320280144E-4</v>
      </c>
      <c r="L1133" s="4">
        <f t="shared" si="593"/>
        <v>1.2144032320280144E-4</v>
      </c>
      <c r="M1133" s="4">
        <f t="shared" si="593"/>
        <v>1.2144032320280144E-4</v>
      </c>
      <c r="N1133" t="s">
        <v>256</v>
      </c>
      <c r="O1133" t="s">
        <v>280</v>
      </c>
      <c r="P1133" t="s">
        <v>351</v>
      </c>
      <c r="Q1133" s="4" t="s">
        <v>245</v>
      </c>
    </row>
    <row r="1134" spans="1:17" x14ac:dyDescent="0.25">
      <c r="A1134" t="s">
        <v>565</v>
      </c>
      <c r="B1134" t="s">
        <v>128</v>
      </c>
      <c r="C1134" s="4">
        <f t="shared" ref="C1134:M1134" si="594">(0.178561789731549/(0.0328453630665826+0.350336698877979+0.0822572721273277+0.0181224344560457+0.178561789731549)) * 0.443695901399142%</f>
        <v>1.1965611744528027E-3</v>
      </c>
      <c r="D1134" s="4">
        <f t="shared" si="594"/>
        <v>1.1965611744528027E-3</v>
      </c>
      <c r="E1134" s="4">
        <f t="shared" si="594"/>
        <v>1.1965611744528027E-3</v>
      </c>
      <c r="F1134" s="4">
        <f t="shared" si="594"/>
        <v>1.1965611744528027E-3</v>
      </c>
      <c r="G1134" s="4">
        <f t="shared" si="594"/>
        <v>1.1965611744528027E-3</v>
      </c>
      <c r="H1134" s="4">
        <f t="shared" si="594"/>
        <v>1.1965611744528027E-3</v>
      </c>
      <c r="I1134" s="4">
        <f t="shared" si="594"/>
        <v>1.1965611744528027E-3</v>
      </c>
      <c r="J1134" s="4">
        <f t="shared" si="594"/>
        <v>1.1965611744528027E-3</v>
      </c>
      <c r="K1134" s="4">
        <f t="shared" si="594"/>
        <v>1.1965611744528027E-3</v>
      </c>
      <c r="L1134" s="4">
        <f t="shared" si="594"/>
        <v>1.1965611744528027E-3</v>
      </c>
      <c r="M1134" s="4">
        <f t="shared" si="594"/>
        <v>1.1965611744528027E-3</v>
      </c>
      <c r="N1134" t="s">
        <v>256</v>
      </c>
      <c r="O1134" t="s">
        <v>354</v>
      </c>
      <c r="P1134" t="s">
        <v>351</v>
      </c>
      <c r="Q1134" s="4" t="s">
        <v>245</v>
      </c>
    </row>
    <row r="1135" spans="1:17" x14ac:dyDescent="0.25">
      <c r="A1135" t="s">
        <v>565</v>
      </c>
      <c r="B1135" t="s">
        <v>191</v>
      </c>
      <c r="C1135" s="4">
        <f t="shared" ref="C1135:M1135" si="595">(0.0328453630665826/(0.0328453630665826+0.350336698877979+0.0822572721273277+0.0181224344560457+0.178561789731549)) * 0.00603101715938971%</f>
        <v>2.9917520044395329E-6</v>
      </c>
      <c r="D1135" s="4">
        <f t="shared" si="595"/>
        <v>2.9917520044395329E-6</v>
      </c>
      <c r="E1135" s="4">
        <f t="shared" si="595"/>
        <v>2.9917520044395329E-6</v>
      </c>
      <c r="F1135" s="4">
        <f t="shared" si="595"/>
        <v>2.9917520044395329E-6</v>
      </c>
      <c r="G1135" s="4">
        <f t="shared" si="595"/>
        <v>2.9917520044395329E-6</v>
      </c>
      <c r="H1135" s="4">
        <f t="shared" si="595"/>
        <v>2.9917520044395329E-6</v>
      </c>
      <c r="I1135" s="4">
        <f t="shared" si="595"/>
        <v>2.9917520044395329E-6</v>
      </c>
      <c r="J1135" s="4">
        <f t="shared" si="595"/>
        <v>2.9917520044395329E-6</v>
      </c>
      <c r="K1135" s="4">
        <f t="shared" si="595"/>
        <v>2.9917520044395329E-6</v>
      </c>
      <c r="L1135" s="4">
        <f t="shared" si="595"/>
        <v>2.9917520044395329E-6</v>
      </c>
      <c r="M1135" s="4">
        <f t="shared" si="595"/>
        <v>2.9917520044395329E-6</v>
      </c>
      <c r="N1135" t="s">
        <v>242</v>
      </c>
      <c r="O1135" t="s">
        <v>358</v>
      </c>
      <c r="P1135" t="s">
        <v>351</v>
      </c>
      <c r="Q1135" s="4" t="s">
        <v>245</v>
      </c>
    </row>
    <row r="1136" spans="1:17" x14ac:dyDescent="0.25">
      <c r="A1136" t="s">
        <v>565</v>
      </c>
      <c r="B1136" t="s">
        <v>191</v>
      </c>
      <c r="C1136" s="4">
        <f t="shared" ref="C1136:M1136" si="596">(0.350336698877979/(0.0328453630665826+0.350336698877979+0.0822572721273277+0.0181224344560457+0.178561789731549)) * 0.00603101715938971%</f>
        <v>3.1910760705315428E-5</v>
      </c>
      <c r="D1136" s="4">
        <f t="shared" si="596"/>
        <v>3.1910760705315428E-5</v>
      </c>
      <c r="E1136" s="4">
        <f t="shared" si="596"/>
        <v>3.1910760705315428E-5</v>
      </c>
      <c r="F1136" s="4">
        <f t="shared" si="596"/>
        <v>3.1910760705315428E-5</v>
      </c>
      <c r="G1136" s="4">
        <f t="shared" si="596"/>
        <v>3.1910760705315428E-5</v>
      </c>
      <c r="H1136" s="4">
        <f t="shared" si="596"/>
        <v>3.1910760705315428E-5</v>
      </c>
      <c r="I1136" s="4">
        <f t="shared" si="596"/>
        <v>3.1910760705315428E-5</v>
      </c>
      <c r="J1136" s="4">
        <f t="shared" si="596"/>
        <v>3.1910760705315428E-5</v>
      </c>
      <c r="K1136" s="4">
        <f t="shared" si="596"/>
        <v>3.1910760705315428E-5</v>
      </c>
      <c r="L1136" s="4">
        <f t="shared" si="596"/>
        <v>3.1910760705315428E-5</v>
      </c>
      <c r="M1136" s="4">
        <f t="shared" si="596"/>
        <v>3.1910760705315428E-5</v>
      </c>
      <c r="N1136" t="s">
        <v>256</v>
      </c>
      <c r="O1136" t="s">
        <v>356</v>
      </c>
      <c r="P1136" t="s">
        <v>351</v>
      </c>
      <c r="Q1136" s="4" t="s">
        <v>245</v>
      </c>
    </row>
    <row r="1137" spans="1:17" x14ac:dyDescent="0.25">
      <c r="A1137" t="s">
        <v>565</v>
      </c>
      <c r="B1137" t="s">
        <v>191</v>
      </c>
      <c r="C1137" s="4">
        <f t="shared" ref="C1137:M1137" si="597">(0.0822572721273277/(0.0328453630665826+0.350336698877979+0.0822572721273277+0.0181224344560457+0.178561789731549)) * 0.00603101715938971%</f>
        <v>7.4924840461587126E-6</v>
      </c>
      <c r="D1137" s="4">
        <f t="shared" si="597"/>
        <v>7.4924840461587126E-6</v>
      </c>
      <c r="E1137" s="4">
        <f t="shared" si="597"/>
        <v>7.4924840461587126E-6</v>
      </c>
      <c r="F1137" s="4">
        <f t="shared" si="597"/>
        <v>7.4924840461587126E-6</v>
      </c>
      <c r="G1137" s="4">
        <f t="shared" si="597"/>
        <v>7.4924840461587126E-6</v>
      </c>
      <c r="H1137" s="4">
        <f t="shared" si="597"/>
        <v>7.4924840461587126E-6</v>
      </c>
      <c r="I1137" s="4">
        <f t="shared" si="597"/>
        <v>7.4924840461587126E-6</v>
      </c>
      <c r="J1137" s="4">
        <f t="shared" si="597"/>
        <v>7.4924840461587126E-6</v>
      </c>
      <c r="K1137" s="4">
        <f t="shared" si="597"/>
        <v>7.4924840461587126E-6</v>
      </c>
      <c r="L1137" s="4">
        <f t="shared" si="597"/>
        <v>7.4924840461587126E-6</v>
      </c>
      <c r="M1137" s="4">
        <f t="shared" si="597"/>
        <v>7.4924840461587126E-6</v>
      </c>
      <c r="N1137" t="s">
        <v>256</v>
      </c>
      <c r="O1137" t="s">
        <v>353</v>
      </c>
      <c r="P1137" t="s">
        <v>351</v>
      </c>
      <c r="Q1137" s="4" t="s">
        <v>245</v>
      </c>
    </row>
    <row r="1138" spans="1:17" x14ac:dyDescent="0.25">
      <c r="A1138" t="s">
        <v>565</v>
      </c>
      <c r="B1138" t="s">
        <v>191</v>
      </c>
      <c r="C1138" s="4">
        <f t="shared" ref="C1138:M1138" si="598">(0.0181224344560457/(0.0328453630665826+0.350336698877979+0.0822572721273277+0.0181224344560457+0.178561789731549)) * 0.00603101715938971%</f>
        <v>1.650699658861767E-6</v>
      </c>
      <c r="D1138" s="4">
        <f t="shared" si="598"/>
        <v>1.650699658861767E-6</v>
      </c>
      <c r="E1138" s="4">
        <f t="shared" si="598"/>
        <v>1.650699658861767E-6</v>
      </c>
      <c r="F1138" s="4">
        <f t="shared" si="598"/>
        <v>1.650699658861767E-6</v>
      </c>
      <c r="G1138" s="4">
        <f t="shared" si="598"/>
        <v>1.650699658861767E-6</v>
      </c>
      <c r="H1138" s="4">
        <f t="shared" si="598"/>
        <v>1.650699658861767E-6</v>
      </c>
      <c r="I1138" s="4">
        <f t="shared" si="598"/>
        <v>1.650699658861767E-6</v>
      </c>
      <c r="J1138" s="4">
        <f t="shared" si="598"/>
        <v>1.650699658861767E-6</v>
      </c>
      <c r="K1138" s="4">
        <f t="shared" si="598"/>
        <v>1.650699658861767E-6</v>
      </c>
      <c r="L1138" s="4">
        <f t="shared" si="598"/>
        <v>1.650699658861767E-6</v>
      </c>
      <c r="M1138" s="4">
        <f t="shared" si="598"/>
        <v>1.650699658861767E-6</v>
      </c>
      <c r="N1138" t="s">
        <v>256</v>
      </c>
      <c r="O1138" t="s">
        <v>280</v>
      </c>
      <c r="P1138" t="s">
        <v>351</v>
      </c>
      <c r="Q1138" s="4" t="s">
        <v>245</v>
      </c>
    </row>
    <row r="1139" spans="1:17" x14ac:dyDescent="0.25">
      <c r="A1139" t="s">
        <v>565</v>
      </c>
      <c r="B1139" t="s">
        <v>191</v>
      </c>
      <c r="C1139" s="4">
        <f t="shared" ref="C1139:M1139" si="599">(0.178561789731549/(0.0328453630665826+0.350336698877979+0.0822572721273277+0.0181224344560457+0.178561789731549)) * 0.00603101715938971%</f>
        <v>1.6264475179121662E-5</v>
      </c>
      <c r="D1139" s="4">
        <f t="shared" si="599"/>
        <v>1.6264475179121662E-5</v>
      </c>
      <c r="E1139" s="4">
        <f t="shared" si="599"/>
        <v>1.6264475179121662E-5</v>
      </c>
      <c r="F1139" s="4">
        <f t="shared" si="599"/>
        <v>1.6264475179121662E-5</v>
      </c>
      <c r="G1139" s="4">
        <f t="shared" si="599"/>
        <v>1.6264475179121662E-5</v>
      </c>
      <c r="H1139" s="4">
        <f t="shared" si="599"/>
        <v>1.6264475179121662E-5</v>
      </c>
      <c r="I1139" s="4">
        <f t="shared" si="599"/>
        <v>1.6264475179121662E-5</v>
      </c>
      <c r="J1139" s="4">
        <f t="shared" si="599"/>
        <v>1.6264475179121662E-5</v>
      </c>
      <c r="K1139" s="4">
        <f t="shared" si="599"/>
        <v>1.6264475179121662E-5</v>
      </c>
      <c r="L1139" s="4">
        <f t="shared" si="599"/>
        <v>1.6264475179121662E-5</v>
      </c>
      <c r="M1139" s="4">
        <f t="shared" si="599"/>
        <v>1.6264475179121662E-5</v>
      </c>
      <c r="N1139" t="s">
        <v>256</v>
      </c>
      <c r="O1139" t="s">
        <v>354</v>
      </c>
      <c r="P1139" t="s">
        <v>351</v>
      </c>
      <c r="Q1139" s="4" t="s">
        <v>245</v>
      </c>
    </row>
    <row r="1140" spans="1:17" x14ac:dyDescent="0.25">
      <c r="A1140" t="s">
        <v>565</v>
      </c>
      <c r="B1140" t="s">
        <v>168</v>
      </c>
      <c r="C1140" s="4">
        <f t="shared" ref="C1140:M1140" si="600">(0.0328453630665826/(0.0328453630665826+0.350336698877979+0.0822572721273277+0.0181224344560457+0.178561789731549)) * 0.11157381744871%</f>
        <v>5.5347412082131544E-5</v>
      </c>
      <c r="D1140" s="4">
        <f t="shared" si="600"/>
        <v>5.5347412082131544E-5</v>
      </c>
      <c r="E1140" s="4">
        <f t="shared" si="600"/>
        <v>5.5347412082131544E-5</v>
      </c>
      <c r="F1140" s="4">
        <f t="shared" si="600"/>
        <v>5.5347412082131544E-5</v>
      </c>
      <c r="G1140" s="4">
        <f t="shared" si="600"/>
        <v>5.5347412082131544E-5</v>
      </c>
      <c r="H1140" s="4">
        <f t="shared" si="600"/>
        <v>5.5347412082131544E-5</v>
      </c>
      <c r="I1140" s="4">
        <f t="shared" si="600"/>
        <v>5.5347412082131544E-5</v>
      </c>
      <c r="J1140" s="4">
        <f t="shared" si="600"/>
        <v>5.5347412082131544E-5</v>
      </c>
      <c r="K1140" s="4">
        <f t="shared" si="600"/>
        <v>5.5347412082131544E-5</v>
      </c>
      <c r="L1140" s="4">
        <f t="shared" si="600"/>
        <v>5.5347412082131544E-5</v>
      </c>
      <c r="M1140" s="4">
        <f t="shared" si="600"/>
        <v>5.5347412082131544E-5</v>
      </c>
      <c r="N1140" t="s">
        <v>242</v>
      </c>
      <c r="O1140" t="s">
        <v>358</v>
      </c>
      <c r="P1140" t="s">
        <v>351</v>
      </c>
      <c r="Q1140" s="4" t="s">
        <v>245</v>
      </c>
    </row>
    <row r="1141" spans="1:17" x14ac:dyDescent="0.25">
      <c r="A1141" t="s">
        <v>565</v>
      </c>
      <c r="B1141" t="s">
        <v>168</v>
      </c>
      <c r="C1141" s="4">
        <f t="shared" ref="C1141:M1141" si="601">(0.350336698877979/(0.0328453630665826+0.350336698877979+0.0822572721273277+0.0181224344560457+0.178561789731549)) * 0.11157381744871%</f>
        <v>5.9034907304833745E-4</v>
      </c>
      <c r="D1141" s="4">
        <f t="shared" si="601"/>
        <v>5.9034907304833745E-4</v>
      </c>
      <c r="E1141" s="4">
        <f t="shared" si="601"/>
        <v>5.9034907304833745E-4</v>
      </c>
      <c r="F1141" s="4">
        <f t="shared" si="601"/>
        <v>5.9034907304833745E-4</v>
      </c>
      <c r="G1141" s="4">
        <f t="shared" si="601"/>
        <v>5.9034907304833745E-4</v>
      </c>
      <c r="H1141" s="4">
        <f t="shared" si="601"/>
        <v>5.9034907304833745E-4</v>
      </c>
      <c r="I1141" s="4">
        <f t="shared" si="601"/>
        <v>5.9034907304833745E-4</v>
      </c>
      <c r="J1141" s="4">
        <f t="shared" si="601"/>
        <v>5.9034907304833745E-4</v>
      </c>
      <c r="K1141" s="4">
        <f t="shared" si="601"/>
        <v>5.9034907304833745E-4</v>
      </c>
      <c r="L1141" s="4">
        <f t="shared" si="601"/>
        <v>5.9034907304833745E-4</v>
      </c>
      <c r="M1141" s="4">
        <f t="shared" si="601"/>
        <v>5.9034907304833745E-4</v>
      </c>
      <c r="N1141" t="s">
        <v>256</v>
      </c>
      <c r="O1141" t="s">
        <v>356</v>
      </c>
      <c r="P1141" t="s">
        <v>351</v>
      </c>
      <c r="Q1141" s="4" t="s">
        <v>245</v>
      </c>
    </row>
    <row r="1142" spans="1:17" x14ac:dyDescent="0.25">
      <c r="A1142" t="s">
        <v>565</v>
      </c>
      <c r="B1142" t="s">
        <v>168</v>
      </c>
      <c r="C1142" s="4">
        <f t="shared" ref="C1142:M1142" si="602">(0.0822572721273277/(0.0328453630665826+0.350336698877979+0.0822572721273277+0.0181224344560457+0.178561789731549)) * 0.11157381744871%</f>
        <v>1.3861095485393664E-4</v>
      </c>
      <c r="D1142" s="4">
        <f t="shared" si="602"/>
        <v>1.3861095485393664E-4</v>
      </c>
      <c r="E1142" s="4">
        <f t="shared" si="602"/>
        <v>1.3861095485393664E-4</v>
      </c>
      <c r="F1142" s="4">
        <f t="shared" si="602"/>
        <v>1.3861095485393664E-4</v>
      </c>
      <c r="G1142" s="4">
        <f t="shared" si="602"/>
        <v>1.3861095485393664E-4</v>
      </c>
      <c r="H1142" s="4">
        <f t="shared" si="602"/>
        <v>1.3861095485393664E-4</v>
      </c>
      <c r="I1142" s="4">
        <f t="shared" si="602"/>
        <v>1.3861095485393664E-4</v>
      </c>
      <c r="J1142" s="4">
        <f t="shared" si="602"/>
        <v>1.3861095485393664E-4</v>
      </c>
      <c r="K1142" s="4">
        <f t="shared" si="602"/>
        <v>1.3861095485393664E-4</v>
      </c>
      <c r="L1142" s="4">
        <f t="shared" si="602"/>
        <v>1.3861095485393664E-4</v>
      </c>
      <c r="M1142" s="4">
        <f t="shared" si="602"/>
        <v>1.3861095485393664E-4</v>
      </c>
      <c r="N1142" t="s">
        <v>256</v>
      </c>
      <c r="O1142" t="s">
        <v>353</v>
      </c>
      <c r="P1142" t="s">
        <v>351</v>
      </c>
      <c r="Q1142" s="4" t="s">
        <v>245</v>
      </c>
    </row>
    <row r="1143" spans="1:17" x14ac:dyDescent="0.25">
      <c r="A1143" t="s">
        <v>565</v>
      </c>
      <c r="B1143" t="s">
        <v>168</v>
      </c>
      <c r="C1143" s="4">
        <f t="shared" ref="C1143:M1143" si="603">(0.0181224344560457/(0.0328453630665826+0.350336698877979+0.0822572721273277+0.0181224344560457+0.178561789731549)) * 0.11157381744871%</f>
        <v>3.0537943688942788E-5</v>
      </c>
      <c r="D1143" s="4">
        <f t="shared" si="603"/>
        <v>3.0537943688942788E-5</v>
      </c>
      <c r="E1143" s="4">
        <f t="shared" si="603"/>
        <v>3.0537943688942788E-5</v>
      </c>
      <c r="F1143" s="4">
        <f t="shared" si="603"/>
        <v>3.0537943688942788E-5</v>
      </c>
      <c r="G1143" s="4">
        <f t="shared" si="603"/>
        <v>3.0537943688942788E-5</v>
      </c>
      <c r="H1143" s="4">
        <f t="shared" si="603"/>
        <v>3.0537943688942788E-5</v>
      </c>
      <c r="I1143" s="4">
        <f t="shared" si="603"/>
        <v>3.0537943688942788E-5</v>
      </c>
      <c r="J1143" s="4">
        <f t="shared" si="603"/>
        <v>3.0537943688942788E-5</v>
      </c>
      <c r="K1143" s="4">
        <f t="shared" si="603"/>
        <v>3.0537943688942788E-5</v>
      </c>
      <c r="L1143" s="4">
        <f t="shared" si="603"/>
        <v>3.0537943688942788E-5</v>
      </c>
      <c r="M1143" s="4">
        <f t="shared" si="603"/>
        <v>3.0537943688942788E-5</v>
      </c>
      <c r="N1143" t="s">
        <v>256</v>
      </c>
      <c r="O1143" t="s">
        <v>280</v>
      </c>
      <c r="P1143" t="s">
        <v>351</v>
      </c>
      <c r="Q1143" s="4" t="s">
        <v>245</v>
      </c>
    </row>
    <row r="1144" spans="1:17" x14ac:dyDescent="0.25">
      <c r="A1144" t="s">
        <v>565</v>
      </c>
      <c r="B1144" t="s">
        <v>168</v>
      </c>
      <c r="C1144" s="4">
        <f t="shared" ref="C1144:M1144" si="604">(0.178561789731549/(0.0328453630665826+0.350336698877979+0.0822572721273277+0.0181224344560457+0.178561789731549)) * 0.11157381744871%</f>
        <v>3.0089279081375176E-4</v>
      </c>
      <c r="D1144" s="4">
        <f t="shared" si="604"/>
        <v>3.0089279081375176E-4</v>
      </c>
      <c r="E1144" s="4">
        <f t="shared" si="604"/>
        <v>3.0089279081375176E-4</v>
      </c>
      <c r="F1144" s="4">
        <f t="shared" si="604"/>
        <v>3.0089279081375176E-4</v>
      </c>
      <c r="G1144" s="4">
        <f t="shared" si="604"/>
        <v>3.0089279081375176E-4</v>
      </c>
      <c r="H1144" s="4">
        <f t="shared" si="604"/>
        <v>3.0089279081375176E-4</v>
      </c>
      <c r="I1144" s="4">
        <f t="shared" si="604"/>
        <v>3.0089279081375176E-4</v>
      </c>
      <c r="J1144" s="4">
        <f t="shared" si="604"/>
        <v>3.0089279081375176E-4</v>
      </c>
      <c r="K1144" s="4">
        <f t="shared" si="604"/>
        <v>3.0089279081375176E-4</v>
      </c>
      <c r="L1144" s="4">
        <f t="shared" si="604"/>
        <v>3.0089279081375176E-4</v>
      </c>
      <c r="M1144" s="4">
        <f t="shared" si="604"/>
        <v>3.0089279081375176E-4</v>
      </c>
      <c r="N1144" t="s">
        <v>256</v>
      </c>
      <c r="O1144" t="s">
        <v>354</v>
      </c>
      <c r="P1144" t="s">
        <v>351</v>
      </c>
      <c r="Q1144" s="4" t="s">
        <v>245</v>
      </c>
    </row>
    <row r="1145" spans="1:17" x14ac:dyDescent="0.25">
      <c r="A1145" t="s">
        <v>565</v>
      </c>
      <c r="B1145" t="s">
        <v>192</v>
      </c>
      <c r="C1145" s="4">
        <f t="shared" ref="C1145:M1145" si="605">(0.0328453630665826/(0.0328453630665826+0.350336698877979+0.0822572721273277+0.0181224344560457+0.178561789731549)) * 0.000114589326028404%</f>
        <v>5.6843288084350883E-8</v>
      </c>
      <c r="D1145" s="4">
        <f t="shared" si="605"/>
        <v>5.6843288084350883E-8</v>
      </c>
      <c r="E1145" s="4">
        <f t="shared" si="605"/>
        <v>5.6843288084350883E-8</v>
      </c>
      <c r="F1145" s="4">
        <f t="shared" si="605"/>
        <v>5.6843288084350883E-8</v>
      </c>
      <c r="G1145" s="4">
        <f t="shared" si="605"/>
        <v>5.6843288084350883E-8</v>
      </c>
      <c r="H1145" s="4">
        <f t="shared" si="605"/>
        <v>5.6843288084350883E-8</v>
      </c>
      <c r="I1145" s="4">
        <f t="shared" si="605"/>
        <v>5.6843288084350883E-8</v>
      </c>
      <c r="J1145" s="4">
        <f t="shared" si="605"/>
        <v>5.6843288084350883E-8</v>
      </c>
      <c r="K1145" s="4">
        <f t="shared" si="605"/>
        <v>5.6843288084350883E-8</v>
      </c>
      <c r="L1145" s="4">
        <f t="shared" si="605"/>
        <v>5.6843288084350883E-8</v>
      </c>
      <c r="M1145" s="4">
        <f t="shared" si="605"/>
        <v>5.6843288084350883E-8</v>
      </c>
      <c r="N1145" t="s">
        <v>242</v>
      </c>
      <c r="O1145" t="s">
        <v>358</v>
      </c>
      <c r="P1145" t="s">
        <v>351</v>
      </c>
      <c r="Q1145" s="4" t="s">
        <v>245</v>
      </c>
    </row>
    <row r="1146" spans="1:17" x14ac:dyDescent="0.25">
      <c r="A1146" t="s">
        <v>565</v>
      </c>
      <c r="B1146" t="s">
        <v>192</v>
      </c>
      <c r="C1146" s="4">
        <f t="shared" ref="C1146:M1146" si="606">(0.350336698877979/(0.0328453630665826+0.350336698877979+0.0822572721273277+0.0181224344560457+0.178561789731549)) * 0.000114589326028404%</f>
        <v>6.0630445340099056E-7</v>
      </c>
      <c r="D1146" s="4">
        <f t="shared" si="606"/>
        <v>6.0630445340099056E-7</v>
      </c>
      <c r="E1146" s="4">
        <f t="shared" si="606"/>
        <v>6.0630445340099056E-7</v>
      </c>
      <c r="F1146" s="4">
        <f t="shared" si="606"/>
        <v>6.0630445340099056E-7</v>
      </c>
      <c r="G1146" s="4">
        <f t="shared" si="606"/>
        <v>6.0630445340099056E-7</v>
      </c>
      <c r="H1146" s="4">
        <f t="shared" si="606"/>
        <v>6.0630445340099056E-7</v>
      </c>
      <c r="I1146" s="4">
        <f t="shared" si="606"/>
        <v>6.0630445340099056E-7</v>
      </c>
      <c r="J1146" s="4">
        <f t="shared" si="606"/>
        <v>6.0630445340099056E-7</v>
      </c>
      <c r="K1146" s="4">
        <f t="shared" si="606"/>
        <v>6.0630445340099056E-7</v>
      </c>
      <c r="L1146" s="4">
        <f t="shared" si="606"/>
        <v>6.0630445340099056E-7</v>
      </c>
      <c r="M1146" s="4">
        <f t="shared" si="606"/>
        <v>6.0630445340099056E-7</v>
      </c>
      <c r="N1146" t="s">
        <v>256</v>
      </c>
      <c r="O1146" t="s">
        <v>356</v>
      </c>
      <c r="P1146" t="s">
        <v>351</v>
      </c>
      <c r="Q1146" s="4" t="s">
        <v>245</v>
      </c>
    </row>
    <row r="1147" spans="1:17" x14ac:dyDescent="0.25">
      <c r="A1147" t="s">
        <v>565</v>
      </c>
      <c r="B1147" t="s">
        <v>192</v>
      </c>
      <c r="C1147" s="4">
        <f t="shared" ref="C1147:M1147" si="607">(0.0822572721273277/(0.0328453630665826+0.350336698877979+0.0822572721273277+0.0181224344560457+0.178561789731549)) * 0.000114589326028404%</f>
        <v>1.4235719687701493E-7</v>
      </c>
      <c r="D1147" s="4">
        <f t="shared" si="607"/>
        <v>1.4235719687701493E-7</v>
      </c>
      <c r="E1147" s="4">
        <f t="shared" si="607"/>
        <v>1.4235719687701493E-7</v>
      </c>
      <c r="F1147" s="4">
        <f t="shared" si="607"/>
        <v>1.4235719687701493E-7</v>
      </c>
      <c r="G1147" s="4">
        <f t="shared" si="607"/>
        <v>1.4235719687701493E-7</v>
      </c>
      <c r="H1147" s="4">
        <f t="shared" si="607"/>
        <v>1.4235719687701493E-7</v>
      </c>
      <c r="I1147" s="4">
        <f t="shared" si="607"/>
        <v>1.4235719687701493E-7</v>
      </c>
      <c r="J1147" s="4">
        <f t="shared" si="607"/>
        <v>1.4235719687701493E-7</v>
      </c>
      <c r="K1147" s="4">
        <f t="shared" si="607"/>
        <v>1.4235719687701493E-7</v>
      </c>
      <c r="L1147" s="4">
        <f t="shared" si="607"/>
        <v>1.4235719687701493E-7</v>
      </c>
      <c r="M1147" s="4">
        <f t="shared" si="607"/>
        <v>1.4235719687701493E-7</v>
      </c>
      <c r="N1147" t="s">
        <v>256</v>
      </c>
      <c r="O1147" t="s">
        <v>353</v>
      </c>
      <c r="P1147" t="s">
        <v>351</v>
      </c>
      <c r="Q1147" s="4" t="s">
        <v>245</v>
      </c>
    </row>
    <row r="1148" spans="1:17" x14ac:dyDescent="0.25">
      <c r="A1148" t="s">
        <v>565</v>
      </c>
      <c r="B1148" t="s">
        <v>192</v>
      </c>
      <c r="C1148" s="4">
        <f t="shared" ref="C1148:M1148" si="608">(0.0181224344560457/(0.0328453630665826+0.350336698877979+0.0822572721273277+0.0181224344560457+0.178561789731549)) * 0.000114589326028404%</f>
        <v>3.1363293518373435E-8</v>
      </c>
      <c r="D1148" s="4">
        <f t="shared" si="608"/>
        <v>3.1363293518373435E-8</v>
      </c>
      <c r="E1148" s="4">
        <f t="shared" si="608"/>
        <v>3.1363293518373435E-8</v>
      </c>
      <c r="F1148" s="4">
        <f t="shared" si="608"/>
        <v>3.1363293518373435E-8</v>
      </c>
      <c r="G1148" s="4">
        <f t="shared" si="608"/>
        <v>3.1363293518373435E-8</v>
      </c>
      <c r="H1148" s="4">
        <f t="shared" si="608"/>
        <v>3.1363293518373435E-8</v>
      </c>
      <c r="I1148" s="4">
        <f t="shared" si="608"/>
        <v>3.1363293518373435E-8</v>
      </c>
      <c r="J1148" s="4">
        <f t="shared" si="608"/>
        <v>3.1363293518373435E-8</v>
      </c>
      <c r="K1148" s="4">
        <f t="shared" si="608"/>
        <v>3.1363293518373435E-8</v>
      </c>
      <c r="L1148" s="4">
        <f t="shared" si="608"/>
        <v>3.1363293518373435E-8</v>
      </c>
      <c r="M1148" s="4">
        <f t="shared" si="608"/>
        <v>3.1363293518373435E-8</v>
      </c>
      <c r="N1148" t="s">
        <v>256</v>
      </c>
      <c r="O1148" t="s">
        <v>280</v>
      </c>
      <c r="P1148" t="s">
        <v>351</v>
      </c>
      <c r="Q1148" s="4" t="s">
        <v>245</v>
      </c>
    </row>
    <row r="1149" spans="1:17" x14ac:dyDescent="0.25">
      <c r="A1149" t="s">
        <v>565</v>
      </c>
      <c r="B1149" t="s">
        <v>192</v>
      </c>
      <c r="C1149" s="4">
        <f t="shared" ref="C1149:M1149" si="609">(0.178561789731549/(0.0328453630665826+0.350336698877979+0.0822572721273277+0.0181224344560457+0.178561789731549)) * 0.000114589326028404%</f>
        <v>3.0902502840331026E-7</v>
      </c>
      <c r="D1149" s="4">
        <f t="shared" si="609"/>
        <v>3.0902502840331026E-7</v>
      </c>
      <c r="E1149" s="4">
        <f t="shared" si="609"/>
        <v>3.0902502840331026E-7</v>
      </c>
      <c r="F1149" s="4">
        <f t="shared" si="609"/>
        <v>3.0902502840331026E-7</v>
      </c>
      <c r="G1149" s="4">
        <f t="shared" si="609"/>
        <v>3.0902502840331026E-7</v>
      </c>
      <c r="H1149" s="4">
        <f t="shared" si="609"/>
        <v>3.0902502840331026E-7</v>
      </c>
      <c r="I1149" s="4">
        <f t="shared" si="609"/>
        <v>3.0902502840331026E-7</v>
      </c>
      <c r="J1149" s="4">
        <f t="shared" si="609"/>
        <v>3.0902502840331026E-7</v>
      </c>
      <c r="K1149" s="4">
        <f t="shared" si="609"/>
        <v>3.0902502840331026E-7</v>
      </c>
      <c r="L1149" s="4">
        <f t="shared" si="609"/>
        <v>3.0902502840331026E-7</v>
      </c>
      <c r="M1149" s="4">
        <f t="shared" si="609"/>
        <v>3.0902502840331026E-7</v>
      </c>
      <c r="N1149" t="s">
        <v>256</v>
      </c>
      <c r="O1149" t="s">
        <v>354</v>
      </c>
      <c r="P1149" t="s">
        <v>351</v>
      </c>
      <c r="Q1149" s="4" t="s">
        <v>245</v>
      </c>
    </row>
    <row r="1150" spans="1:17" x14ac:dyDescent="0.25">
      <c r="A1150" t="s">
        <v>565</v>
      </c>
      <c r="B1150" t="s">
        <v>193</v>
      </c>
      <c r="C1150" s="4">
        <f t="shared" ref="C1150:M1150" si="610">(0.0328453630665826/(0.0328453630665826+0.350336698877979+0.0822572721273277+0.0181224344560457+0.178561789731549)) * 0.1407277543972%</f>
        <v>6.9809541271592307E-5</v>
      </c>
      <c r="D1150" s="4">
        <f t="shared" si="610"/>
        <v>6.9809541271592307E-5</v>
      </c>
      <c r="E1150" s="4">
        <f t="shared" si="610"/>
        <v>6.9809541271592307E-5</v>
      </c>
      <c r="F1150" s="4">
        <f t="shared" si="610"/>
        <v>6.9809541271592307E-5</v>
      </c>
      <c r="G1150" s="4">
        <f t="shared" si="610"/>
        <v>6.9809541271592307E-5</v>
      </c>
      <c r="H1150" s="4">
        <f t="shared" si="610"/>
        <v>6.9809541271592307E-5</v>
      </c>
      <c r="I1150" s="4">
        <f t="shared" si="610"/>
        <v>6.9809541271592307E-5</v>
      </c>
      <c r="J1150" s="4">
        <f t="shared" si="610"/>
        <v>6.9809541271592307E-5</v>
      </c>
      <c r="K1150" s="4">
        <f t="shared" si="610"/>
        <v>6.9809541271592307E-5</v>
      </c>
      <c r="L1150" s="4">
        <f t="shared" si="610"/>
        <v>6.9809541271592307E-5</v>
      </c>
      <c r="M1150" s="4">
        <f t="shared" si="610"/>
        <v>6.9809541271592307E-5</v>
      </c>
      <c r="N1150" t="s">
        <v>242</v>
      </c>
      <c r="O1150" t="s">
        <v>358</v>
      </c>
      <c r="P1150" t="s">
        <v>351</v>
      </c>
      <c r="Q1150" s="4" t="s">
        <v>245</v>
      </c>
    </row>
    <row r="1151" spans="1:17" x14ac:dyDescent="0.25">
      <c r="A1151" t="s">
        <v>565</v>
      </c>
      <c r="B1151" t="s">
        <v>193</v>
      </c>
      <c r="C1151" s="4">
        <f t="shared" ref="C1151:M1151" si="611">(0.350336698877979/(0.0328453630665826+0.350336698877979+0.0822572721273277+0.0181224344560457+0.178561789731549)) * 0.1407277543972%</f>
        <v>7.4460569029783286E-4</v>
      </c>
      <c r="D1151" s="4">
        <f t="shared" si="611"/>
        <v>7.4460569029783286E-4</v>
      </c>
      <c r="E1151" s="4">
        <f t="shared" si="611"/>
        <v>7.4460569029783286E-4</v>
      </c>
      <c r="F1151" s="4">
        <f t="shared" si="611"/>
        <v>7.4460569029783286E-4</v>
      </c>
      <c r="G1151" s="4">
        <f t="shared" si="611"/>
        <v>7.4460569029783286E-4</v>
      </c>
      <c r="H1151" s="4">
        <f t="shared" si="611"/>
        <v>7.4460569029783286E-4</v>
      </c>
      <c r="I1151" s="4">
        <f t="shared" si="611"/>
        <v>7.4460569029783286E-4</v>
      </c>
      <c r="J1151" s="4">
        <f t="shared" si="611"/>
        <v>7.4460569029783286E-4</v>
      </c>
      <c r="K1151" s="4">
        <f t="shared" si="611"/>
        <v>7.4460569029783286E-4</v>
      </c>
      <c r="L1151" s="4">
        <f t="shared" si="611"/>
        <v>7.4460569029783286E-4</v>
      </c>
      <c r="M1151" s="4">
        <f t="shared" si="611"/>
        <v>7.4460569029783286E-4</v>
      </c>
      <c r="N1151" t="s">
        <v>256</v>
      </c>
      <c r="O1151" t="s">
        <v>356</v>
      </c>
      <c r="P1151" t="s">
        <v>351</v>
      </c>
      <c r="Q1151" s="4" t="s">
        <v>245</v>
      </c>
    </row>
    <row r="1152" spans="1:17" x14ac:dyDescent="0.25">
      <c r="A1152" t="s">
        <v>565</v>
      </c>
      <c r="B1152" t="s">
        <v>193</v>
      </c>
      <c r="C1152" s="4">
        <f t="shared" ref="C1152:M1152" si="612">(0.0822572721273277/(0.0328453630665826+0.350336698877979+0.0822572721273277+0.0181224344560457+0.178561789731549)) * 0.1407277543972%</f>
        <v>1.7482962273306801E-4</v>
      </c>
      <c r="D1152" s="4">
        <f t="shared" si="612"/>
        <v>1.7482962273306801E-4</v>
      </c>
      <c r="E1152" s="4">
        <f t="shared" si="612"/>
        <v>1.7482962273306801E-4</v>
      </c>
      <c r="F1152" s="4">
        <f t="shared" si="612"/>
        <v>1.7482962273306801E-4</v>
      </c>
      <c r="G1152" s="4">
        <f t="shared" si="612"/>
        <v>1.7482962273306801E-4</v>
      </c>
      <c r="H1152" s="4">
        <f t="shared" si="612"/>
        <v>1.7482962273306801E-4</v>
      </c>
      <c r="I1152" s="4">
        <f t="shared" si="612"/>
        <v>1.7482962273306801E-4</v>
      </c>
      <c r="J1152" s="4">
        <f t="shared" si="612"/>
        <v>1.7482962273306801E-4</v>
      </c>
      <c r="K1152" s="4">
        <f t="shared" si="612"/>
        <v>1.7482962273306801E-4</v>
      </c>
      <c r="L1152" s="4">
        <f t="shared" si="612"/>
        <v>1.7482962273306801E-4</v>
      </c>
      <c r="M1152" s="4">
        <f t="shared" si="612"/>
        <v>1.7482962273306801E-4</v>
      </c>
      <c r="N1152" t="s">
        <v>256</v>
      </c>
      <c r="O1152" t="s">
        <v>353</v>
      </c>
      <c r="P1152" t="s">
        <v>351</v>
      </c>
      <c r="Q1152" s="4" t="s">
        <v>245</v>
      </c>
    </row>
    <row r="1153" spans="1:17" x14ac:dyDescent="0.25">
      <c r="A1153" t="s">
        <v>565</v>
      </c>
      <c r="B1153" t="s">
        <v>193</v>
      </c>
      <c r="C1153" s="4">
        <f t="shared" ref="C1153:M1153" si="613">(0.0181224344560457/(0.0328453630665826+0.350336698877979+0.0822572721273277+0.0181224344560457+0.178561789731549)) * 0.1407277543972%</f>
        <v>3.8517425839880608E-5</v>
      </c>
      <c r="D1153" s="4">
        <f t="shared" si="613"/>
        <v>3.8517425839880608E-5</v>
      </c>
      <c r="E1153" s="4">
        <f t="shared" si="613"/>
        <v>3.8517425839880608E-5</v>
      </c>
      <c r="F1153" s="4">
        <f t="shared" si="613"/>
        <v>3.8517425839880608E-5</v>
      </c>
      <c r="G1153" s="4">
        <f t="shared" si="613"/>
        <v>3.8517425839880608E-5</v>
      </c>
      <c r="H1153" s="4">
        <f t="shared" si="613"/>
        <v>3.8517425839880608E-5</v>
      </c>
      <c r="I1153" s="4">
        <f t="shared" si="613"/>
        <v>3.8517425839880608E-5</v>
      </c>
      <c r="J1153" s="4">
        <f t="shared" si="613"/>
        <v>3.8517425839880608E-5</v>
      </c>
      <c r="K1153" s="4">
        <f t="shared" si="613"/>
        <v>3.8517425839880608E-5</v>
      </c>
      <c r="L1153" s="4">
        <f t="shared" si="613"/>
        <v>3.8517425839880608E-5</v>
      </c>
      <c r="M1153" s="4">
        <f t="shared" si="613"/>
        <v>3.8517425839880608E-5</v>
      </c>
      <c r="N1153" t="s">
        <v>256</v>
      </c>
      <c r="O1153" t="s">
        <v>280</v>
      </c>
      <c r="P1153" t="s">
        <v>351</v>
      </c>
      <c r="Q1153" s="4" t="s">
        <v>245</v>
      </c>
    </row>
    <row r="1154" spans="1:17" x14ac:dyDescent="0.25">
      <c r="A1154" t="s">
        <v>565</v>
      </c>
      <c r="B1154" t="s">
        <v>193</v>
      </c>
      <c r="C1154" s="4">
        <f t="shared" ref="C1154:M1154" si="614">(0.178561789731549/(0.0328453630665826+0.350336698877979+0.0822572721273277+0.0181224344560457+0.178561789731549)) * 0.1407277543972%</f>
        <v>3.7951526382962625E-4</v>
      </c>
      <c r="D1154" s="4">
        <f t="shared" si="614"/>
        <v>3.7951526382962625E-4</v>
      </c>
      <c r="E1154" s="4">
        <f t="shared" si="614"/>
        <v>3.7951526382962625E-4</v>
      </c>
      <c r="F1154" s="4">
        <f t="shared" si="614"/>
        <v>3.7951526382962625E-4</v>
      </c>
      <c r="G1154" s="4">
        <f t="shared" si="614"/>
        <v>3.7951526382962625E-4</v>
      </c>
      <c r="H1154" s="4">
        <f t="shared" si="614"/>
        <v>3.7951526382962625E-4</v>
      </c>
      <c r="I1154" s="4">
        <f t="shared" si="614"/>
        <v>3.7951526382962625E-4</v>
      </c>
      <c r="J1154" s="4">
        <f t="shared" si="614"/>
        <v>3.7951526382962625E-4</v>
      </c>
      <c r="K1154" s="4">
        <f t="shared" si="614"/>
        <v>3.7951526382962625E-4</v>
      </c>
      <c r="L1154" s="4">
        <f t="shared" si="614"/>
        <v>3.7951526382962625E-4</v>
      </c>
      <c r="M1154" s="4">
        <f t="shared" si="614"/>
        <v>3.7951526382962625E-4</v>
      </c>
      <c r="N1154" t="s">
        <v>256</v>
      </c>
      <c r="O1154" t="s">
        <v>354</v>
      </c>
      <c r="P1154" t="s">
        <v>351</v>
      </c>
      <c r="Q1154" s="4" t="s">
        <v>245</v>
      </c>
    </row>
    <row r="1155" spans="1:17" x14ac:dyDescent="0.25">
      <c r="A1155" t="s">
        <v>565</v>
      </c>
      <c r="B1155" t="s">
        <v>90</v>
      </c>
      <c r="C1155" s="4">
        <f t="shared" ref="C1155:M1155" si="615">(0.0328453630665826/(0.0328453630665826+0.350336698877979+0.0822572721273277+0.0181224344560457+0.178561789731549)) * 0.0362403821107728%</f>
        <v>1.797743779467717E-5</v>
      </c>
      <c r="D1155" s="4">
        <f t="shared" si="615"/>
        <v>1.797743779467717E-5</v>
      </c>
      <c r="E1155" s="4">
        <f t="shared" si="615"/>
        <v>1.797743779467717E-5</v>
      </c>
      <c r="F1155" s="4">
        <f t="shared" si="615"/>
        <v>1.797743779467717E-5</v>
      </c>
      <c r="G1155" s="4">
        <f t="shared" si="615"/>
        <v>1.797743779467717E-5</v>
      </c>
      <c r="H1155" s="4">
        <f t="shared" si="615"/>
        <v>1.797743779467717E-5</v>
      </c>
      <c r="I1155" s="4">
        <f t="shared" si="615"/>
        <v>1.797743779467717E-5</v>
      </c>
      <c r="J1155" s="4">
        <f t="shared" si="615"/>
        <v>1.797743779467717E-5</v>
      </c>
      <c r="K1155" s="4">
        <f t="shared" si="615"/>
        <v>1.797743779467717E-5</v>
      </c>
      <c r="L1155" s="4">
        <f t="shared" si="615"/>
        <v>1.797743779467717E-5</v>
      </c>
      <c r="M1155" s="4">
        <f t="shared" si="615"/>
        <v>1.797743779467717E-5</v>
      </c>
      <c r="N1155" t="s">
        <v>242</v>
      </c>
      <c r="O1155" t="s">
        <v>358</v>
      </c>
      <c r="P1155" t="s">
        <v>351</v>
      </c>
      <c r="Q1155" s="4" t="s">
        <v>245</v>
      </c>
    </row>
    <row r="1156" spans="1:17" x14ac:dyDescent="0.25">
      <c r="A1156" t="s">
        <v>565</v>
      </c>
      <c r="B1156" t="s">
        <v>90</v>
      </c>
      <c r="C1156" s="4">
        <f t="shared" ref="C1156:M1156" si="616">(0.350336698877979/(0.0328453630665826+0.350336698877979+0.0822572721273277+0.0181224344560457+0.178561789731549)) * 0.0362403821107728%</f>
        <v>1.9175176107824059E-4</v>
      </c>
      <c r="D1156" s="4">
        <f t="shared" si="616"/>
        <v>1.9175176107824059E-4</v>
      </c>
      <c r="E1156" s="4">
        <f t="shared" si="616"/>
        <v>1.9175176107824059E-4</v>
      </c>
      <c r="F1156" s="4">
        <f t="shared" si="616"/>
        <v>1.9175176107824059E-4</v>
      </c>
      <c r="G1156" s="4">
        <f t="shared" si="616"/>
        <v>1.9175176107824059E-4</v>
      </c>
      <c r="H1156" s="4">
        <f t="shared" si="616"/>
        <v>1.9175176107824059E-4</v>
      </c>
      <c r="I1156" s="4">
        <f t="shared" si="616"/>
        <v>1.9175176107824059E-4</v>
      </c>
      <c r="J1156" s="4">
        <f t="shared" si="616"/>
        <v>1.9175176107824059E-4</v>
      </c>
      <c r="K1156" s="4">
        <f t="shared" si="616"/>
        <v>1.9175176107824059E-4</v>
      </c>
      <c r="L1156" s="4">
        <f t="shared" si="616"/>
        <v>1.9175176107824059E-4</v>
      </c>
      <c r="M1156" s="4">
        <f t="shared" si="616"/>
        <v>1.9175176107824059E-4</v>
      </c>
      <c r="N1156" t="s">
        <v>256</v>
      </c>
      <c r="O1156" t="s">
        <v>356</v>
      </c>
      <c r="P1156" t="s">
        <v>351</v>
      </c>
      <c r="Q1156" s="4" t="s">
        <v>245</v>
      </c>
    </row>
    <row r="1157" spans="1:17" x14ac:dyDescent="0.25">
      <c r="A1157" t="s">
        <v>565</v>
      </c>
      <c r="B1157" t="s">
        <v>90</v>
      </c>
      <c r="C1157" s="4">
        <f t="shared" ref="C1157:M1157" si="617">(0.0822572721273277/(0.0328453630665826+0.350336698877979+0.0822572721273277+0.0181224344560457+0.178561789731549)) * 0.0362403821107728%</f>
        <v>4.5022336633367744E-5</v>
      </c>
      <c r="D1157" s="4">
        <f t="shared" si="617"/>
        <v>4.5022336633367744E-5</v>
      </c>
      <c r="E1157" s="4">
        <f t="shared" si="617"/>
        <v>4.5022336633367744E-5</v>
      </c>
      <c r="F1157" s="4">
        <f t="shared" si="617"/>
        <v>4.5022336633367744E-5</v>
      </c>
      <c r="G1157" s="4">
        <f t="shared" si="617"/>
        <v>4.5022336633367744E-5</v>
      </c>
      <c r="H1157" s="4">
        <f t="shared" si="617"/>
        <v>4.5022336633367744E-5</v>
      </c>
      <c r="I1157" s="4">
        <f t="shared" si="617"/>
        <v>4.5022336633367744E-5</v>
      </c>
      <c r="J1157" s="4">
        <f t="shared" si="617"/>
        <v>4.5022336633367744E-5</v>
      </c>
      <c r="K1157" s="4">
        <f t="shared" si="617"/>
        <v>4.5022336633367744E-5</v>
      </c>
      <c r="L1157" s="4">
        <f t="shared" si="617"/>
        <v>4.5022336633367744E-5</v>
      </c>
      <c r="M1157" s="4">
        <f t="shared" si="617"/>
        <v>4.5022336633367744E-5</v>
      </c>
      <c r="N1157" t="s">
        <v>256</v>
      </c>
      <c r="O1157" t="s">
        <v>353</v>
      </c>
      <c r="P1157" t="s">
        <v>351</v>
      </c>
      <c r="Q1157" s="4" t="s">
        <v>245</v>
      </c>
    </row>
    <row r="1158" spans="1:17" x14ac:dyDescent="0.25">
      <c r="A1158" t="s">
        <v>565</v>
      </c>
      <c r="B1158" t="s">
        <v>90</v>
      </c>
      <c r="C1158" s="4">
        <f t="shared" ref="C1158:M1158" si="618">(0.0181224344560457/(0.0328453630665826+0.350336698877979+0.0822572721273277+0.0181224344560457+0.178561789731549)) * 0.0362403821107728%</f>
        <v>9.9190542501003661E-6</v>
      </c>
      <c r="D1158" s="4">
        <f t="shared" si="618"/>
        <v>9.9190542501003661E-6</v>
      </c>
      <c r="E1158" s="4">
        <f t="shared" si="618"/>
        <v>9.9190542501003661E-6</v>
      </c>
      <c r="F1158" s="4">
        <f t="shared" si="618"/>
        <v>9.9190542501003661E-6</v>
      </c>
      <c r="G1158" s="4">
        <f t="shared" si="618"/>
        <v>9.9190542501003661E-6</v>
      </c>
      <c r="H1158" s="4">
        <f t="shared" si="618"/>
        <v>9.9190542501003661E-6</v>
      </c>
      <c r="I1158" s="4">
        <f t="shared" si="618"/>
        <v>9.9190542501003661E-6</v>
      </c>
      <c r="J1158" s="4">
        <f t="shared" si="618"/>
        <v>9.9190542501003661E-6</v>
      </c>
      <c r="K1158" s="4">
        <f t="shared" si="618"/>
        <v>9.9190542501003661E-6</v>
      </c>
      <c r="L1158" s="4">
        <f t="shared" si="618"/>
        <v>9.9190542501003661E-6</v>
      </c>
      <c r="M1158" s="4">
        <f t="shared" si="618"/>
        <v>9.9190542501003661E-6</v>
      </c>
      <c r="N1158" t="s">
        <v>256</v>
      </c>
      <c r="O1158" t="s">
        <v>280</v>
      </c>
      <c r="P1158" t="s">
        <v>351</v>
      </c>
      <c r="Q1158" s="4" t="s">
        <v>245</v>
      </c>
    </row>
    <row r="1159" spans="1:17" x14ac:dyDescent="0.25">
      <c r="A1159" t="s">
        <v>565</v>
      </c>
      <c r="B1159" t="s">
        <v>90</v>
      </c>
      <c r="C1159" s="4">
        <f t="shared" ref="C1159:M1159" si="619">(0.178561789731549/(0.0328453630665826+0.350336698877979+0.0822572721273277+0.0181224344560457+0.178561789731549)) * 0.0362403821107728%</f>
        <v>9.7733231351342158E-5</v>
      </c>
      <c r="D1159" s="4">
        <f t="shared" si="619"/>
        <v>9.7733231351342158E-5</v>
      </c>
      <c r="E1159" s="4">
        <f t="shared" si="619"/>
        <v>9.7733231351342158E-5</v>
      </c>
      <c r="F1159" s="4">
        <f t="shared" si="619"/>
        <v>9.7733231351342158E-5</v>
      </c>
      <c r="G1159" s="4">
        <f t="shared" si="619"/>
        <v>9.7733231351342158E-5</v>
      </c>
      <c r="H1159" s="4">
        <f t="shared" si="619"/>
        <v>9.7733231351342158E-5</v>
      </c>
      <c r="I1159" s="4">
        <f t="shared" si="619"/>
        <v>9.7733231351342158E-5</v>
      </c>
      <c r="J1159" s="4">
        <f t="shared" si="619"/>
        <v>9.7733231351342158E-5</v>
      </c>
      <c r="K1159" s="4">
        <f t="shared" si="619"/>
        <v>9.7733231351342158E-5</v>
      </c>
      <c r="L1159" s="4">
        <f t="shared" si="619"/>
        <v>9.7733231351342158E-5</v>
      </c>
      <c r="M1159" s="4">
        <f t="shared" si="619"/>
        <v>9.7733231351342158E-5</v>
      </c>
      <c r="N1159" t="s">
        <v>256</v>
      </c>
      <c r="O1159" t="s">
        <v>354</v>
      </c>
      <c r="P1159" t="s">
        <v>351</v>
      </c>
      <c r="Q1159" s="4" t="s">
        <v>245</v>
      </c>
    </row>
    <row r="1160" spans="1:17" x14ac:dyDescent="0.25">
      <c r="A1160" t="s">
        <v>565</v>
      </c>
      <c r="B1160" t="s">
        <v>154</v>
      </c>
      <c r="C1160" s="4">
        <f t="shared" ref="C1160:M1160" si="620">(0.0328453630665826/(0.0328453630665826+0.350336698877979+0.0822572721273277+0.0181224344560457+0.178561789731549)) * 0.262415587622206%</f>
        <v>1.301741214651687E-4</v>
      </c>
      <c r="D1160" s="4">
        <f t="shared" si="620"/>
        <v>1.301741214651687E-4</v>
      </c>
      <c r="E1160" s="4">
        <f t="shared" si="620"/>
        <v>1.301741214651687E-4</v>
      </c>
      <c r="F1160" s="4">
        <f t="shared" si="620"/>
        <v>1.301741214651687E-4</v>
      </c>
      <c r="G1160" s="4">
        <f t="shared" si="620"/>
        <v>1.301741214651687E-4</v>
      </c>
      <c r="H1160" s="4">
        <f t="shared" si="620"/>
        <v>1.301741214651687E-4</v>
      </c>
      <c r="I1160" s="4">
        <f t="shared" si="620"/>
        <v>1.301741214651687E-4</v>
      </c>
      <c r="J1160" s="4">
        <f t="shared" si="620"/>
        <v>1.301741214651687E-4</v>
      </c>
      <c r="K1160" s="4">
        <f t="shared" si="620"/>
        <v>1.301741214651687E-4</v>
      </c>
      <c r="L1160" s="4">
        <f t="shared" si="620"/>
        <v>1.301741214651687E-4</v>
      </c>
      <c r="M1160" s="4">
        <f t="shared" si="620"/>
        <v>1.301741214651687E-4</v>
      </c>
      <c r="N1160" t="s">
        <v>242</v>
      </c>
      <c r="O1160" t="s">
        <v>358</v>
      </c>
      <c r="P1160" t="s">
        <v>351</v>
      </c>
      <c r="Q1160" s="4" t="s">
        <v>245</v>
      </c>
    </row>
    <row r="1161" spans="1:17" x14ac:dyDescent="0.25">
      <c r="A1161" t="s">
        <v>565</v>
      </c>
      <c r="B1161" t="s">
        <v>154</v>
      </c>
      <c r="C1161" s="4">
        <f t="shared" ref="C1161:M1161" si="621">(0.350336698877979/(0.0328453630665826+0.350336698877979+0.0822572721273277+0.0181224344560457+0.178561789731549)) * 0.262415587622206%</f>
        <v>1.3884691090489815E-3</v>
      </c>
      <c r="D1161" s="4">
        <f t="shared" si="621"/>
        <v>1.3884691090489815E-3</v>
      </c>
      <c r="E1161" s="4">
        <f t="shared" si="621"/>
        <v>1.3884691090489815E-3</v>
      </c>
      <c r="F1161" s="4">
        <f t="shared" si="621"/>
        <v>1.3884691090489815E-3</v>
      </c>
      <c r="G1161" s="4">
        <f t="shared" si="621"/>
        <v>1.3884691090489815E-3</v>
      </c>
      <c r="H1161" s="4">
        <f t="shared" si="621"/>
        <v>1.3884691090489815E-3</v>
      </c>
      <c r="I1161" s="4">
        <f t="shared" si="621"/>
        <v>1.3884691090489815E-3</v>
      </c>
      <c r="J1161" s="4">
        <f t="shared" si="621"/>
        <v>1.3884691090489815E-3</v>
      </c>
      <c r="K1161" s="4">
        <f t="shared" si="621"/>
        <v>1.3884691090489815E-3</v>
      </c>
      <c r="L1161" s="4">
        <f t="shared" si="621"/>
        <v>1.3884691090489815E-3</v>
      </c>
      <c r="M1161" s="4">
        <f t="shared" si="621"/>
        <v>1.3884691090489815E-3</v>
      </c>
      <c r="N1161" t="s">
        <v>256</v>
      </c>
      <c r="O1161" t="s">
        <v>356</v>
      </c>
      <c r="P1161" t="s">
        <v>351</v>
      </c>
      <c r="Q1161" s="4" t="s">
        <v>245</v>
      </c>
    </row>
    <row r="1162" spans="1:17" x14ac:dyDescent="0.25">
      <c r="A1162" t="s">
        <v>565</v>
      </c>
      <c r="B1162" t="s">
        <v>154</v>
      </c>
      <c r="C1162" s="4">
        <f t="shared" ref="C1162:M1162" si="622">(0.0822572721273277/(0.0328453630665826+0.350336698877979+0.0822572721273277+0.0181224344560457+0.178561789731549)) * 0.262415587622206%</f>
        <v>3.2600547333241214E-4</v>
      </c>
      <c r="D1162" s="4">
        <f t="shared" si="622"/>
        <v>3.2600547333241214E-4</v>
      </c>
      <c r="E1162" s="4">
        <f t="shared" si="622"/>
        <v>3.2600547333241214E-4</v>
      </c>
      <c r="F1162" s="4">
        <f t="shared" si="622"/>
        <v>3.2600547333241214E-4</v>
      </c>
      <c r="G1162" s="4">
        <f t="shared" si="622"/>
        <v>3.2600547333241214E-4</v>
      </c>
      <c r="H1162" s="4">
        <f t="shared" si="622"/>
        <v>3.2600547333241214E-4</v>
      </c>
      <c r="I1162" s="4">
        <f t="shared" si="622"/>
        <v>3.2600547333241214E-4</v>
      </c>
      <c r="J1162" s="4">
        <f t="shared" si="622"/>
        <v>3.2600547333241214E-4</v>
      </c>
      <c r="K1162" s="4">
        <f t="shared" si="622"/>
        <v>3.2600547333241214E-4</v>
      </c>
      <c r="L1162" s="4">
        <f t="shared" si="622"/>
        <v>3.2600547333241214E-4</v>
      </c>
      <c r="M1162" s="4">
        <f t="shared" si="622"/>
        <v>3.2600547333241214E-4</v>
      </c>
      <c r="N1162" t="s">
        <v>256</v>
      </c>
      <c r="O1162" t="s">
        <v>353</v>
      </c>
      <c r="P1162" t="s">
        <v>351</v>
      </c>
      <c r="Q1162" s="4" t="s">
        <v>245</v>
      </c>
    </row>
    <row r="1163" spans="1:17" x14ac:dyDescent="0.25">
      <c r="A1163" t="s">
        <v>565</v>
      </c>
      <c r="B1163" t="s">
        <v>154</v>
      </c>
      <c r="C1163" s="4">
        <f t="shared" ref="C1163:M1163" si="623">(0.0181224344560457/(0.0328453630665826+0.350336698877979+0.0822572721273277+0.0181224344560457+0.178561789731549)) * 0.262415587622206%</f>
        <v>7.1823592856734428E-5</v>
      </c>
      <c r="D1163" s="4">
        <f t="shared" si="623"/>
        <v>7.1823592856734428E-5</v>
      </c>
      <c r="E1163" s="4">
        <f t="shared" si="623"/>
        <v>7.1823592856734428E-5</v>
      </c>
      <c r="F1163" s="4">
        <f t="shared" si="623"/>
        <v>7.1823592856734428E-5</v>
      </c>
      <c r="G1163" s="4">
        <f t="shared" si="623"/>
        <v>7.1823592856734428E-5</v>
      </c>
      <c r="H1163" s="4">
        <f t="shared" si="623"/>
        <v>7.1823592856734428E-5</v>
      </c>
      <c r="I1163" s="4">
        <f t="shared" si="623"/>
        <v>7.1823592856734428E-5</v>
      </c>
      <c r="J1163" s="4">
        <f t="shared" si="623"/>
        <v>7.1823592856734428E-5</v>
      </c>
      <c r="K1163" s="4">
        <f t="shared" si="623"/>
        <v>7.1823592856734428E-5</v>
      </c>
      <c r="L1163" s="4">
        <f t="shared" si="623"/>
        <v>7.1823592856734428E-5</v>
      </c>
      <c r="M1163" s="4">
        <f t="shared" si="623"/>
        <v>7.1823592856734428E-5</v>
      </c>
      <c r="N1163" t="s">
        <v>256</v>
      </c>
      <c r="O1163" t="s">
        <v>280</v>
      </c>
      <c r="P1163" t="s">
        <v>351</v>
      </c>
      <c r="Q1163" s="4" t="s">
        <v>245</v>
      </c>
    </row>
    <row r="1164" spans="1:17" x14ac:dyDescent="0.25">
      <c r="A1164" t="s">
        <v>565</v>
      </c>
      <c r="B1164" t="s">
        <v>154</v>
      </c>
      <c r="C1164" s="4">
        <f t="shared" ref="C1164:M1164" si="624">(0.178561789731549/(0.0328453630665826+0.350336698877979+0.0822572721273277+0.0181224344560457+0.178561789731549)) * 0.262415587622206%</f>
        <v>7.0768357951876356E-4</v>
      </c>
      <c r="D1164" s="4">
        <f t="shared" si="624"/>
        <v>7.0768357951876356E-4</v>
      </c>
      <c r="E1164" s="4">
        <f t="shared" si="624"/>
        <v>7.0768357951876356E-4</v>
      </c>
      <c r="F1164" s="4">
        <f t="shared" si="624"/>
        <v>7.0768357951876356E-4</v>
      </c>
      <c r="G1164" s="4">
        <f t="shared" si="624"/>
        <v>7.0768357951876356E-4</v>
      </c>
      <c r="H1164" s="4">
        <f t="shared" si="624"/>
        <v>7.0768357951876356E-4</v>
      </c>
      <c r="I1164" s="4">
        <f t="shared" si="624"/>
        <v>7.0768357951876356E-4</v>
      </c>
      <c r="J1164" s="4">
        <f t="shared" si="624"/>
        <v>7.0768357951876356E-4</v>
      </c>
      <c r="K1164" s="4">
        <f t="shared" si="624"/>
        <v>7.0768357951876356E-4</v>
      </c>
      <c r="L1164" s="4">
        <f t="shared" si="624"/>
        <v>7.0768357951876356E-4</v>
      </c>
      <c r="M1164" s="4">
        <f t="shared" si="624"/>
        <v>7.0768357951876356E-4</v>
      </c>
      <c r="N1164" t="s">
        <v>256</v>
      </c>
      <c r="O1164" t="s">
        <v>354</v>
      </c>
      <c r="P1164" t="s">
        <v>351</v>
      </c>
      <c r="Q1164" s="4" t="s">
        <v>245</v>
      </c>
    </row>
    <row r="1165" spans="1:17" x14ac:dyDescent="0.25">
      <c r="A1165" t="s">
        <v>565</v>
      </c>
      <c r="B1165" t="s">
        <v>194</v>
      </c>
      <c r="C1165" s="4">
        <f t="shared" ref="C1165:M1165" si="625">(0.0328453630665826/(0.0328453630665826+0.350336698877979+0.0822572721273277+0.0181224344560457+0.178561789731549)) * 0.295519840810096%</f>
        <v>1.4659584821753721E-4</v>
      </c>
      <c r="D1165" s="4">
        <f t="shared" si="625"/>
        <v>1.4659584821753721E-4</v>
      </c>
      <c r="E1165" s="4">
        <f t="shared" si="625"/>
        <v>1.4659584821753721E-4</v>
      </c>
      <c r="F1165" s="4">
        <f t="shared" si="625"/>
        <v>1.4659584821753721E-4</v>
      </c>
      <c r="G1165" s="4">
        <f t="shared" si="625"/>
        <v>1.4659584821753721E-4</v>
      </c>
      <c r="H1165" s="4">
        <f t="shared" si="625"/>
        <v>1.4659584821753721E-4</v>
      </c>
      <c r="I1165" s="4">
        <f t="shared" si="625"/>
        <v>1.4659584821753721E-4</v>
      </c>
      <c r="J1165" s="4">
        <f t="shared" si="625"/>
        <v>1.4659584821753721E-4</v>
      </c>
      <c r="K1165" s="4">
        <f t="shared" si="625"/>
        <v>1.4659584821753721E-4</v>
      </c>
      <c r="L1165" s="4">
        <f t="shared" si="625"/>
        <v>1.4659584821753721E-4</v>
      </c>
      <c r="M1165" s="4">
        <f t="shared" si="625"/>
        <v>1.4659584821753721E-4</v>
      </c>
      <c r="N1165" t="s">
        <v>242</v>
      </c>
      <c r="O1165" t="s">
        <v>358</v>
      </c>
      <c r="P1165" t="s">
        <v>351</v>
      </c>
      <c r="Q1165" s="4" t="s">
        <v>245</v>
      </c>
    </row>
    <row r="1166" spans="1:17" x14ac:dyDescent="0.25">
      <c r="A1166" t="s">
        <v>565</v>
      </c>
      <c r="B1166" t="s">
        <v>194</v>
      </c>
      <c r="C1166" s="4">
        <f t="shared" ref="C1166:M1166" si="626">(0.350336698877979/(0.0328453630665826+0.350336698877979+0.0822572721273277+0.0181224344560457+0.178561789731549)) * 0.295519840810096%</f>
        <v>1.5636272745604572E-3</v>
      </c>
      <c r="D1166" s="4">
        <f t="shared" si="626"/>
        <v>1.5636272745604572E-3</v>
      </c>
      <c r="E1166" s="4">
        <f t="shared" si="626"/>
        <v>1.5636272745604572E-3</v>
      </c>
      <c r="F1166" s="4">
        <f t="shared" si="626"/>
        <v>1.5636272745604572E-3</v>
      </c>
      <c r="G1166" s="4">
        <f t="shared" si="626"/>
        <v>1.5636272745604572E-3</v>
      </c>
      <c r="H1166" s="4">
        <f t="shared" si="626"/>
        <v>1.5636272745604572E-3</v>
      </c>
      <c r="I1166" s="4">
        <f t="shared" si="626"/>
        <v>1.5636272745604572E-3</v>
      </c>
      <c r="J1166" s="4">
        <f t="shared" si="626"/>
        <v>1.5636272745604572E-3</v>
      </c>
      <c r="K1166" s="4">
        <f t="shared" si="626"/>
        <v>1.5636272745604572E-3</v>
      </c>
      <c r="L1166" s="4">
        <f t="shared" si="626"/>
        <v>1.5636272745604572E-3</v>
      </c>
      <c r="M1166" s="4">
        <f t="shared" si="626"/>
        <v>1.5636272745604572E-3</v>
      </c>
      <c r="N1166" t="s">
        <v>256</v>
      </c>
      <c r="O1166" t="s">
        <v>356</v>
      </c>
      <c r="P1166" t="s">
        <v>351</v>
      </c>
      <c r="Q1166" s="4" t="s">
        <v>245</v>
      </c>
    </row>
    <row r="1167" spans="1:17" x14ac:dyDescent="0.25">
      <c r="A1167" t="s">
        <v>565</v>
      </c>
      <c r="B1167" t="s">
        <v>194</v>
      </c>
      <c r="C1167" s="4">
        <f t="shared" ref="C1167:M1167" si="627">(0.0822572721273277/(0.0328453630665826+0.350336698877979+0.0822572721273277+0.0181224344560457+0.178561789731549)) * 0.295519840810096%</f>
        <v>3.6713171826177718E-4</v>
      </c>
      <c r="D1167" s="4">
        <f t="shared" si="627"/>
        <v>3.6713171826177718E-4</v>
      </c>
      <c r="E1167" s="4">
        <f t="shared" si="627"/>
        <v>3.6713171826177718E-4</v>
      </c>
      <c r="F1167" s="4">
        <f t="shared" si="627"/>
        <v>3.6713171826177718E-4</v>
      </c>
      <c r="G1167" s="4">
        <f t="shared" si="627"/>
        <v>3.6713171826177718E-4</v>
      </c>
      <c r="H1167" s="4">
        <f t="shared" si="627"/>
        <v>3.6713171826177718E-4</v>
      </c>
      <c r="I1167" s="4">
        <f t="shared" si="627"/>
        <v>3.6713171826177718E-4</v>
      </c>
      <c r="J1167" s="4">
        <f t="shared" si="627"/>
        <v>3.6713171826177718E-4</v>
      </c>
      <c r="K1167" s="4">
        <f t="shared" si="627"/>
        <v>3.6713171826177718E-4</v>
      </c>
      <c r="L1167" s="4">
        <f t="shared" si="627"/>
        <v>3.6713171826177718E-4</v>
      </c>
      <c r="M1167" s="4">
        <f t="shared" si="627"/>
        <v>3.6713171826177718E-4</v>
      </c>
      <c r="N1167" t="s">
        <v>256</v>
      </c>
      <c r="O1167" t="s">
        <v>353</v>
      </c>
      <c r="P1167" t="s">
        <v>351</v>
      </c>
      <c r="Q1167" s="4" t="s">
        <v>245</v>
      </c>
    </row>
    <row r="1168" spans="1:17" x14ac:dyDescent="0.25">
      <c r="A1168" t="s">
        <v>565</v>
      </c>
      <c r="B1168" t="s">
        <v>194</v>
      </c>
      <c r="C1168" s="4">
        <f t="shared" ref="C1168:M1168" si="628">(0.0181224344560457/(0.0328453630665826+0.350336698877979+0.0822572721273277+0.0181224344560457+0.178561789731549)) * 0.295519840810096%</f>
        <v>8.0884283284226636E-5</v>
      </c>
      <c r="D1168" s="4">
        <f t="shared" si="628"/>
        <v>8.0884283284226636E-5</v>
      </c>
      <c r="E1168" s="4">
        <f t="shared" si="628"/>
        <v>8.0884283284226636E-5</v>
      </c>
      <c r="F1168" s="4">
        <f t="shared" si="628"/>
        <v>8.0884283284226636E-5</v>
      </c>
      <c r="G1168" s="4">
        <f t="shared" si="628"/>
        <v>8.0884283284226636E-5</v>
      </c>
      <c r="H1168" s="4">
        <f t="shared" si="628"/>
        <v>8.0884283284226636E-5</v>
      </c>
      <c r="I1168" s="4">
        <f t="shared" si="628"/>
        <v>8.0884283284226636E-5</v>
      </c>
      <c r="J1168" s="4">
        <f t="shared" si="628"/>
        <v>8.0884283284226636E-5</v>
      </c>
      <c r="K1168" s="4">
        <f t="shared" si="628"/>
        <v>8.0884283284226636E-5</v>
      </c>
      <c r="L1168" s="4">
        <f t="shared" si="628"/>
        <v>8.0884283284226636E-5</v>
      </c>
      <c r="M1168" s="4">
        <f t="shared" si="628"/>
        <v>8.0884283284226636E-5</v>
      </c>
      <c r="N1168" t="s">
        <v>256</v>
      </c>
      <c r="O1168" t="s">
        <v>280</v>
      </c>
      <c r="P1168" t="s">
        <v>351</v>
      </c>
      <c r="Q1168" s="4" t="s">
        <v>245</v>
      </c>
    </row>
    <row r="1169" spans="1:17" x14ac:dyDescent="0.25">
      <c r="A1169" t="s">
        <v>565</v>
      </c>
      <c r="B1169" t="s">
        <v>194</v>
      </c>
      <c r="C1169" s="4">
        <f t="shared" ref="C1169:M1169" si="629">(0.178561789731549/(0.0328453630665826+0.350336698877979+0.0822572721273277+0.0181224344560457+0.178561789731549)) * 0.295519840810096%</f>
        <v>7.9695928377696208E-4</v>
      </c>
      <c r="D1169" s="4">
        <f t="shared" si="629"/>
        <v>7.9695928377696208E-4</v>
      </c>
      <c r="E1169" s="4">
        <f t="shared" si="629"/>
        <v>7.9695928377696208E-4</v>
      </c>
      <c r="F1169" s="4">
        <f t="shared" si="629"/>
        <v>7.9695928377696208E-4</v>
      </c>
      <c r="G1169" s="4">
        <f t="shared" si="629"/>
        <v>7.9695928377696208E-4</v>
      </c>
      <c r="H1169" s="4">
        <f t="shared" si="629"/>
        <v>7.9695928377696208E-4</v>
      </c>
      <c r="I1169" s="4">
        <f t="shared" si="629"/>
        <v>7.9695928377696208E-4</v>
      </c>
      <c r="J1169" s="4">
        <f t="shared" si="629"/>
        <v>7.9695928377696208E-4</v>
      </c>
      <c r="K1169" s="4">
        <f t="shared" si="629"/>
        <v>7.9695928377696208E-4</v>
      </c>
      <c r="L1169" s="4">
        <f t="shared" si="629"/>
        <v>7.9695928377696208E-4</v>
      </c>
      <c r="M1169" s="4">
        <f t="shared" si="629"/>
        <v>7.9695928377696208E-4</v>
      </c>
      <c r="N1169" t="s">
        <v>256</v>
      </c>
      <c r="O1169" t="s">
        <v>354</v>
      </c>
      <c r="P1169" t="s">
        <v>351</v>
      </c>
      <c r="Q1169" s="4" t="s">
        <v>245</v>
      </c>
    </row>
    <row r="1170" spans="1:17" x14ac:dyDescent="0.25">
      <c r="A1170" t="s">
        <v>565</v>
      </c>
      <c r="B1170" t="s">
        <v>195</v>
      </c>
      <c r="C1170" s="4">
        <f t="shared" ref="C1170:M1170" si="630">(0.0328453630665826/(0.0328453630665826+0.350336698877979+0.0822572721273277+0.0181224344560457+0.178561789731549)) * 0.00603101715938971%</f>
        <v>2.9917520044395329E-6</v>
      </c>
      <c r="D1170" s="4">
        <f t="shared" si="630"/>
        <v>2.9917520044395329E-6</v>
      </c>
      <c r="E1170" s="4">
        <f t="shared" si="630"/>
        <v>2.9917520044395329E-6</v>
      </c>
      <c r="F1170" s="4">
        <f t="shared" si="630"/>
        <v>2.9917520044395329E-6</v>
      </c>
      <c r="G1170" s="4">
        <f t="shared" si="630"/>
        <v>2.9917520044395329E-6</v>
      </c>
      <c r="H1170" s="4">
        <f t="shared" si="630"/>
        <v>2.9917520044395329E-6</v>
      </c>
      <c r="I1170" s="4">
        <f t="shared" si="630"/>
        <v>2.9917520044395329E-6</v>
      </c>
      <c r="J1170" s="4">
        <f t="shared" si="630"/>
        <v>2.9917520044395329E-6</v>
      </c>
      <c r="K1170" s="4">
        <f t="shared" si="630"/>
        <v>2.9917520044395329E-6</v>
      </c>
      <c r="L1170" s="4">
        <f t="shared" si="630"/>
        <v>2.9917520044395329E-6</v>
      </c>
      <c r="M1170" s="4">
        <f t="shared" si="630"/>
        <v>2.9917520044395329E-6</v>
      </c>
      <c r="N1170" t="s">
        <v>242</v>
      </c>
      <c r="O1170" t="s">
        <v>358</v>
      </c>
      <c r="P1170" t="s">
        <v>351</v>
      </c>
      <c r="Q1170" s="4" t="s">
        <v>245</v>
      </c>
    </row>
    <row r="1171" spans="1:17" x14ac:dyDescent="0.25">
      <c r="A1171" t="s">
        <v>565</v>
      </c>
      <c r="B1171" t="s">
        <v>195</v>
      </c>
      <c r="C1171" s="4">
        <f t="shared" ref="C1171:M1171" si="631">(0.350336698877979/(0.0328453630665826+0.350336698877979+0.0822572721273277+0.0181224344560457+0.178561789731549)) * 0.00603101715938971%</f>
        <v>3.1910760705315428E-5</v>
      </c>
      <c r="D1171" s="4">
        <f t="shared" si="631"/>
        <v>3.1910760705315428E-5</v>
      </c>
      <c r="E1171" s="4">
        <f t="shared" si="631"/>
        <v>3.1910760705315428E-5</v>
      </c>
      <c r="F1171" s="4">
        <f t="shared" si="631"/>
        <v>3.1910760705315428E-5</v>
      </c>
      <c r="G1171" s="4">
        <f t="shared" si="631"/>
        <v>3.1910760705315428E-5</v>
      </c>
      <c r="H1171" s="4">
        <f t="shared" si="631"/>
        <v>3.1910760705315428E-5</v>
      </c>
      <c r="I1171" s="4">
        <f t="shared" si="631"/>
        <v>3.1910760705315428E-5</v>
      </c>
      <c r="J1171" s="4">
        <f t="shared" si="631"/>
        <v>3.1910760705315428E-5</v>
      </c>
      <c r="K1171" s="4">
        <f t="shared" si="631"/>
        <v>3.1910760705315428E-5</v>
      </c>
      <c r="L1171" s="4">
        <f t="shared" si="631"/>
        <v>3.1910760705315428E-5</v>
      </c>
      <c r="M1171" s="4">
        <f t="shared" si="631"/>
        <v>3.1910760705315428E-5</v>
      </c>
      <c r="N1171" t="s">
        <v>256</v>
      </c>
      <c r="O1171" t="s">
        <v>356</v>
      </c>
      <c r="P1171" t="s">
        <v>351</v>
      </c>
      <c r="Q1171" s="4" t="s">
        <v>245</v>
      </c>
    </row>
    <row r="1172" spans="1:17" x14ac:dyDescent="0.25">
      <c r="A1172" t="s">
        <v>565</v>
      </c>
      <c r="B1172" t="s">
        <v>195</v>
      </c>
      <c r="C1172" s="4">
        <f t="shared" ref="C1172:M1172" si="632">(0.0822572721273277/(0.0328453630665826+0.350336698877979+0.0822572721273277+0.0181224344560457+0.178561789731549)) * 0.00603101715938971%</f>
        <v>7.4924840461587126E-6</v>
      </c>
      <c r="D1172" s="4">
        <f t="shared" si="632"/>
        <v>7.4924840461587126E-6</v>
      </c>
      <c r="E1172" s="4">
        <f t="shared" si="632"/>
        <v>7.4924840461587126E-6</v>
      </c>
      <c r="F1172" s="4">
        <f t="shared" si="632"/>
        <v>7.4924840461587126E-6</v>
      </c>
      <c r="G1172" s="4">
        <f t="shared" si="632"/>
        <v>7.4924840461587126E-6</v>
      </c>
      <c r="H1172" s="4">
        <f t="shared" si="632"/>
        <v>7.4924840461587126E-6</v>
      </c>
      <c r="I1172" s="4">
        <f t="shared" si="632"/>
        <v>7.4924840461587126E-6</v>
      </c>
      <c r="J1172" s="4">
        <f t="shared" si="632"/>
        <v>7.4924840461587126E-6</v>
      </c>
      <c r="K1172" s="4">
        <f t="shared" si="632"/>
        <v>7.4924840461587126E-6</v>
      </c>
      <c r="L1172" s="4">
        <f t="shared" si="632"/>
        <v>7.4924840461587126E-6</v>
      </c>
      <c r="M1172" s="4">
        <f t="shared" si="632"/>
        <v>7.4924840461587126E-6</v>
      </c>
      <c r="N1172" t="s">
        <v>256</v>
      </c>
      <c r="O1172" t="s">
        <v>353</v>
      </c>
      <c r="P1172" t="s">
        <v>351</v>
      </c>
      <c r="Q1172" s="4" t="s">
        <v>245</v>
      </c>
    </row>
    <row r="1173" spans="1:17" x14ac:dyDescent="0.25">
      <c r="A1173" t="s">
        <v>565</v>
      </c>
      <c r="B1173" t="s">
        <v>195</v>
      </c>
      <c r="C1173" s="4">
        <f t="shared" ref="C1173:M1173" si="633">(0.0181224344560457/(0.0328453630665826+0.350336698877979+0.0822572721273277+0.0181224344560457+0.178561789731549)) * 0.00603101715938971%</f>
        <v>1.650699658861767E-6</v>
      </c>
      <c r="D1173" s="4">
        <f t="shared" si="633"/>
        <v>1.650699658861767E-6</v>
      </c>
      <c r="E1173" s="4">
        <f t="shared" si="633"/>
        <v>1.650699658861767E-6</v>
      </c>
      <c r="F1173" s="4">
        <f t="shared" si="633"/>
        <v>1.650699658861767E-6</v>
      </c>
      <c r="G1173" s="4">
        <f t="shared" si="633"/>
        <v>1.650699658861767E-6</v>
      </c>
      <c r="H1173" s="4">
        <f t="shared" si="633"/>
        <v>1.650699658861767E-6</v>
      </c>
      <c r="I1173" s="4">
        <f t="shared" si="633"/>
        <v>1.650699658861767E-6</v>
      </c>
      <c r="J1173" s="4">
        <f t="shared" si="633"/>
        <v>1.650699658861767E-6</v>
      </c>
      <c r="K1173" s="4">
        <f t="shared" si="633"/>
        <v>1.650699658861767E-6</v>
      </c>
      <c r="L1173" s="4">
        <f t="shared" si="633"/>
        <v>1.650699658861767E-6</v>
      </c>
      <c r="M1173" s="4">
        <f t="shared" si="633"/>
        <v>1.650699658861767E-6</v>
      </c>
      <c r="N1173" t="s">
        <v>256</v>
      </c>
      <c r="O1173" t="s">
        <v>280</v>
      </c>
      <c r="P1173" t="s">
        <v>351</v>
      </c>
      <c r="Q1173" s="4" t="s">
        <v>245</v>
      </c>
    </row>
    <row r="1174" spans="1:17" x14ac:dyDescent="0.25">
      <c r="A1174" t="s">
        <v>565</v>
      </c>
      <c r="B1174" t="s">
        <v>195</v>
      </c>
      <c r="C1174" s="4">
        <f t="shared" ref="C1174:M1174" si="634">(0.178561789731549/(0.0328453630665826+0.350336698877979+0.0822572721273277+0.0181224344560457+0.178561789731549)) * 0.00603101715938971%</f>
        <v>1.6264475179121662E-5</v>
      </c>
      <c r="D1174" s="4">
        <f t="shared" si="634"/>
        <v>1.6264475179121662E-5</v>
      </c>
      <c r="E1174" s="4">
        <f t="shared" si="634"/>
        <v>1.6264475179121662E-5</v>
      </c>
      <c r="F1174" s="4">
        <f t="shared" si="634"/>
        <v>1.6264475179121662E-5</v>
      </c>
      <c r="G1174" s="4">
        <f t="shared" si="634"/>
        <v>1.6264475179121662E-5</v>
      </c>
      <c r="H1174" s="4">
        <f t="shared" si="634"/>
        <v>1.6264475179121662E-5</v>
      </c>
      <c r="I1174" s="4">
        <f t="shared" si="634"/>
        <v>1.6264475179121662E-5</v>
      </c>
      <c r="J1174" s="4">
        <f t="shared" si="634"/>
        <v>1.6264475179121662E-5</v>
      </c>
      <c r="K1174" s="4">
        <f t="shared" si="634"/>
        <v>1.6264475179121662E-5</v>
      </c>
      <c r="L1174" s="4">
        <f t="shared" si="634"/>
        <v>1.6264475179121662E-5</v>
      </c>
      <c r="M1174" s="4">
        <f t="shared" si="634"/>
        <v>1.6264475179121662E-5</v>
      </c>
      <c r="N1174" t="s">
        <v>256</v>
      </c>
      <c r="O1174" t="s">
        <v>354</v>
      </c>
      <c r="P1174" t="s">
        <v>351</v>
      </c>
      <c r="Q1174" s="4" t="s">
        <v>245</v>
      </c>
    </row>
    <row r="1175" spans="1:17" x14ac:dyDescent="0.25">
      <c r="A1175" t="s">
        <v>565</v>
      </c>
      <c r="B1175" t="s">
        <v>169</v>
      </c>
      <c r="C1175" s="4">
        <f t="shared" ref="C1175:M1175" si="635">(0.0328453630665826/(0.0328453630665826+0.350336698877979+0.0822572721273277+0.0181224344560457+0.178561789731549)) * 0.122411555284133%</f>
        <v>6.0723590434109226E-5</v>
      </c>
      <c r="D1175" s="4">
        <f t="shared" si="635"/>
        <v>6.0723590434109226E-5</v>
      </c>
      <c r="E1175" s="4">
        <f t="shared" si="635"/>
        <v>6.0723590434109226E-5</v>
      </c>
      <c r="F1175" s="4">
        <f t="shared" si="635"/>
        <v>6.0723590434109226E-5</v>
      </c>
      <c r="G1175" s="4">
        <f t="shared" si="635"/>
        <v>6.0723590434109226E-5</v>
      </c>
      <c r="H1175" s="4">
        <f t="shared" si="635"/>
        <v>6.0723590434109226E-5</v>
      </c>
      <c r="I1175" s="4">
        <f t="shared" si="635"/>
        <v>6.0723590434109226E-5</v>
      </c>
      <c r="J1175" s="4">
        <f t="shared" si="635"/>
        <v>6.0723590434109226E-5</v>
      </c>
      <c r="K1175" s="4">
        <f t="shared" si="635"/>
        <v>6.0723590434109226E-5</v>
      </c>
      <c r="L1175" s="4">
        <f t="shared" si="635"/>
        <v>6.0723590434109226E-5</v>
      </c>
      <c r="M1175" s="4">
        <f t="shared" si="635"/>
        <v>6.0723590434109226E-5</v>
      </c>
      <c r="N1175" t="s">
        <v>242</v>
      </c>
      <c r="O1175" t="s">
        <v>358</v>
      </c>
      <c r="P1175" t="s">
        <v>351</v>
      </c>
      <c r="Q1175" s="4" t="s">
        <v>245</v>
      </c>
    </row>
    <row r="1176" spans="1:17" x14ac:dyDescent="0.25">
      <c r="A1176" t="s">
        <v>565</v>
      </c>
      <c r="B1176" t="s">
        <v>169</v>
      </c>
      <c r="C1176" s="4">
        <f t="shared" ref="C1176:M1176" si="636">(0.350336698877979/(0.0328453630665826+0.350336698877979+0.0822572721273277+0.0181224344560457+0.178561789731549)) * 0.122411555284133%</f>
        <v>6.476927100357876E-4</v>
      </c>
      <c r="D1176" s="4">
        <f t="shared" si="636"/>
        <v>6.476927100357876E-4</v>
      </c>
      <c r="E1176" s="4">
        <f t="shared" si="636"/>
        <v>6.476927100357876E-4</v>
      </c>
      <c r="F1176" s="4">
        <f t="shared" si="636"/>
        <v>6.476927100357876E-4</v>
      </c>
      <c r="G1176" s="4">
        <f t="shared" si="636"/>
        <v>6.476927100357876E-4</v>
      </c>
      <c r="H1176" s="4">
        <f t="shared" si="636"/>
        <v>6.476927100357876E-4</v>
      </c>
      <c r="I1176" s="4">
        <f t="shared" si="636"/>
        <v>6.476927100357876E-4</v>
      </c>
      <c r="J1176" s="4">
        <f t="shared" si="636"/>
        <v>6.476927100357876E-4</v>
      </c>
      <c r="K1176" s="4">
        <f t="shared" si="636"/>
        <v>6.476927100357876E-4</v>
      </c>
      <c r="L1176" s="4">
        <f t="shared" si="636"/>
        <v>6.476927100357876E-4</v>
      </c>
      <c r="M1176" s="4">
        <f t="shared" si="636"/>
        <v>6.476927100357876E-4</v>
      </c>
      <c r="N1176" t="s">
        <v>256</v>
      </c>
      <c r="O1176" t="s">
        <v>356</v>
      </c>
      <c r="P1176" t="s">
        <v>351</v>
      </c>
      <c r="Q1176" s="4" t="s">
        <v>245</v>
      </c>
    </row>
    <row r="1177" spans="1:17" x14ac:dyDescent="0.25">
      <c r="A1177" t="s">
        <v>565</v>
      </c>
      <c r="B1177" t="s">
        <v>169</v>
      </c>
      <c r="C1177" s="4">
        <f t="shared" ref="C1177:M1177" si="637">(0.0822572721273277/(0.0328453630665826+0.350336698877979+0.0822572721273277+0.0181224344560457+0.178561789731549)) * 0.122411555284133%</f>
        <v>1.5207494868488345E-4</v>
      </c>
      <c r="D1177" s="4">
        <f t="shared" si="637"/>
        <v>1.5207494868488345E-4</v>
      </c>
      <c r="E1177" s="4">
        <f t="shared" si="637"/>
        <v>1.5207494868488345E-4</v>
      </c>
      <c r="F1177" s="4">
        <f t="shared" si="637"/>
        <v>1.5207494868488345E-4</v>
      </c>
      <c r="G1177" s="4">
        <f t="shared" si="637"/>
        <v>1.5207494868488345E-4</v>
      </c>
      <c r="H1177" s="4">
        <f t="shared" si="637"/>
        <v>1.5207494868488345E-4</v>
      </c>
      <c r="I1177" s="4">
        <f t="shared" si="637"/>
        <v>1.5207494868488345E-4</v>
      </c>
      <c r="J1177" s="4">
        <f t="shared" si="637"/>
        <v>1.5207494868488345E-4</v>
      </c>
      <c r="K1177" s="4">
        <f t="shared" si="637"/>
        <v>1.5207494868488345E-4</v>
      </c>
      <c r="L1177" s="4">
        <f t="shared" si="637"/>
        <v>1.5207494868488345E-4</v>
      </c>
      <c r="M1177" s="4">
        <f t="shared" si="637"/>
        <v>1.5207494868488345E-4</v>
      </c>
      <c r="N1177" t="s">
        <v>256</v>
      </c>
      <c r="O1177" t="s">
        <v>353</v>
      </c>
      <c r="P1177" t="s">
        <v>351</v>
      </c>
      <c r="Q1177" s="4" t="s">
        <v>245</v>
      </c>
    </row>
    <row r="1178" spans="1:17" x14ac:dyDescent="0.25">
      <c r="A1178" t="s">
        <v>565</v>
      </c>
      <c r="B1178" t="s">
        <v>169</v>
      </c>
      <c r="C1178" s="4">
        <f t="shared" ref="C1178:M1178" si="638">(0.0181224344560457/(0.0328453630665826+0.350336698877979+0.0822572721273277+0.0181224344560457+0.178561789731549)) * 0.122411555284133%</f>
        <v>3.3504250975917298E-5</v>
      </c>
      <c r="D1178" s="4">
        <f t="shared" si="638"/>
        <v>3.3504250975917298E-5</v>
      </c>
      <c r="E1178" s="4">
        <f t="shared" si="638"/>
        <v>3.3504250975917298E-5</v>
      </c>
      <c r="F1178" s="4">
        <f t="shared" si="638"/>
        <v>3.3504250975917298E-5</v>
      </c>
      <c r="G1178" s="4">
        <f t="shared" si="638"/>
        <v>3.3504250975917298E-5</v>
      </c>
      <c r="H1178" s="4">
        <f t="shared" si="638"/>
        <v>3.3504250975917298E-5</v>
      </c>
      <c r="I1178" s="4">
        <f t="shared" si="638"/>
        <v>3.3504250975917298E-5</v>
      </c>
      <c r="J1178" s="4">
        <f t="shared" si="638"/>
        <v>3.3504250975917298E-5</v>
      </c>
      <c r="K1178" s="4">
        <f t="shared" si="638"/>
        <v>3.3504250975917298E-5</v>
      </c>
      <c r="L1178" s="4">
        <f t="shared" si="638"/>
        <v>3.3504250975917298E-5</v>
      </c>
      <c r="M1178" s="4">
        <f t="shared" si="638"/>
        <v>3.3504250975917298E-5</v>
      </c>
      <c r="N1178" t="s">
        <v>256</v>
      </c>
      <c r="O1178" t="s">
        <v>280</v>
      </c>
      <c r="P1178" t="s">
        <v>351</v>
      </c>
      <c r="Q1178" s="4" t="s">
        <v>245</v>
      </c>
    </row>
    <row r="1179" spans="1:17" x14ac:dyDescent="0.25">
      <c r="A1179" t="s">
        <v>565</v>
      </c>
      <c r="B1179" t="s">
        <v>169</v>
      </c>
      <c r="C1179" s="4">
        <f t="shared" ref="C1179:M1179" si="639">(0.178561789731549/(0.0328453630665826+0.350336698877979+0.0822572721273277+0.0181224344560457+0.178561789731549)) * 0.122411555284133%</f>
        <v>3.3012005271063256E-4</v>
      </c>
      <c r="D1179" s="4">
        <f t="shared" si="639"/>
        <v>3.3012005271063256E-4</v>
      </c>
      <c r="E1179" s="4">
        <f t="shared" si="639"/>
        <v>3.3012005271063256E-4</v>
      </c>
      <c r="F1179" s="4">
        <f t="shared" si="639"/>
        <v>3.3012005271063256E-4</v>
      </c>
      <c r="G1179" s="4">
        <f t="shared" si="639"/>
        <v>3.3012005271063256E-4</v>
      </c>
      <c r="H1179" s="4">
        <f t="shared" si="639"/>
        <v>3.3012005271063256E-4</v>
      </c>
      <c r="I1179" s="4">
        <f t="shared" si="639"/>
        <v>3.3012005271063256E-4</v>
      </c>
      <c r="J1179" s="4">
        <f t="shared" si="639"/>
        <v>3.3012005271063256E-4</v>
      </c>
      <c r="K1179" s="4">
        <f t="shared" si="639"/>
        <v>3.3012005271063256E-4</v>
      </c>
      <c r="L1179" s="4">
        <f t="shared" si="639"/>
        <v>3.3012005271063256E-4</v>
      </c>
      <c r="M1179" s="4">
        <f t="shared" si="639"/>
        <v>3.3012005271063256E-4</v>
      </c>
      <c r="N1179" t="s">
        <v>256</v>
      </c>
      <c r="O1179" t="s">
        <v>354</v>
      </c>
      <c r="P1179" t="s">
        <v>351</v>
      </c>
      <c r="Q1179" s="4" t="s">
        <v>245</v>
      </c>
    </row>
    <row r="1180" spans="1:17" x14ac:dyDescent="0.25">
      <c r="A1180" t="s">
        <v>565</v>
      </c>
      <c r="B1180" t="s">
        <v>117</v>
      </c>
      <c r="C1180" s="4">
        <f t="shared" ref="C1180:M1180" si="640">(0.0328453630665826/(0.0328453630665826+0.350336698877979+0.0822572721273277+0.0181224344560457+0.178561789731549)) * 0.000192992549100471%</f>
        <v>9.5736064142065198E-8</v>
      </c>
      <c r="D1180" s="4">
        <f t="shared" si="640"/>
        <v>9.5736064142065198E-8</v>
      </c>
      <c r="E1180" s="4">
        <f t="shared" si="640"/>
        <v>9.5736064142065198E-8</v>
      </c>
      <c r="F1180" s="4">
        <f t="shared" si="640"/>
        <v>9.5736064142065198E-8</v>
      </c>
      <c r="G1180" s="4">
        <f t="shared" si="640"/>
        <v>9.5736064142065198E-8</v>
      </c>
      <c r="H1180" s="4">
        <f t="shared" si="640"/>
        <v>9.5736064142065198E-8</v>
      </c>
      <c r="I1180" s="4">
        <f t="shared" si="640"/>
        <v>9.5736064142065198E-8</v>
      </c>
      <c r="J1180" s="4">
        <f t="shared" si="640"/>
        <v>9.5736064142065198E-8</v>
      </c>
      <c r="K1180" s="4">
        <f t="shared" si="640"/>
        <v>9.5736064142065198E-8</v>
      </c>
      <c r="L1180" s="4">
        <f t="shared" si="640"/>
        <v>9.5736064142065198E-8</v>
      </c>
      <c r="M1180" s="4">
        <f t="shared" si="640"/>
        <v>9.5736064142065198E-8</v>
      </c>
      <c r="N1180" t="s">
        <v>242</v>
      </c>
      <c r="O1180" t="s">
        <v>358</v>
      </c>
      <c r="P1180" t="s">
        <v>351</v>
      </c>
      <c r="Q1180" s="4" t="s">
        <v>245</v>
      </c>
    </row>
    <row r="1181" spans="1:17" x14ac:dyDescent="0.25">
      <c r="A1181" t="s">
        <v>565</v>
      </c>
      <c r="B1181" t="s">
        <v>117</v>
      </c>
      <c r="C1181" s="4">
        <f t="shared" ref="C1181:M1181" si="641">(0.350336698877979/(0.0328453630665826+0.350336698877979+0.0822572721273277+0.0181224344560457+0.178561789731549)) * 0.000192992549100471%</f>
        <v>1.0211443425700953E-6</v>
      </c>
      <c r="D1181" s="4">
        <f t="shared" si="641"/>
        <v>1.0211443425700953E-6</v>
      </c>
      <c r="E1181" s="4">
        <f t="shared" si="641"/>
        <v>1.0211443425700953E-6</v>
      </c>
      <c r="F1181" s="4">
        <f t="shared" si="641"/>
        <v>1.0211443425700953E-6</v>
      </c>
      <c r="G1181" s="4">
        <f t="shared" si="641"/>
        <v>1.0211443425700953E-6</v>
      </c>
      <c r="H1181" s="4">
        <f t="shared" si="641"/>
        <v>1.0211443425700953E-6</v>
      </c>
      <c r="I1181" s="4">
        <f t="shared" si="641"/>
        <v>1.0211443425700953E-6</v>
      </c>
      <c r="J1181" s="4">
        <f t="shared" si="641"/>
        <v>1.0211443425700953E-6</v>
      </c>
      <c r="K1181" s="4">
        <f t="shared" si="641"/>
        <v>1.0211443425700953E-6</v>
      </c>
      <c r="L1181" s="4">
        <f t="shared" si="641"/>
        <v>1.0211443425700953E-6</v>
      </c>
      <c r="M1181" s="4">
        <f t="shared" si="641"/>
        <v>1.0211443425700953E-6</v>
      </c>
      <c r="N1181" t="s">
        <v>256</v>
      </c>
      <c r="O1181" t="s">
        <v>356</v>
      </c>
      <c r="P1181" t="s">
        <v>351</v>
      </c>
      <c r="Q1181" s="4" t="s">
        <v>245</v>
      </c>
    </row>
    <row r="1182" spans="1:17" x14ac:dyDescent="0.25">
      <c r="A1182" t="s">
        <v>565</v>
      </c>
      <c r="B1182" t="s">
        <v>117</v>
      </c>
      <c r="C1182" s="4">
        <f t="shared" ref="C1182:M1182" si="642">(0.0822572721273277/(0.0328453630665826+0.350336698877979+0.0822572721273277+0.0181224344560457+0.178561789731549)) * 0.000192992549100471%</f>
        <v>2.3975948947707915E-7</v>
      </c>
      <c r="D1182" s="4">
        <f t="shared" si="642"/>
        <v>2.3975948947707915E-7</v>
      </c>
      <c r="E1182" s="4">
        <f t="shared" si="642"/>
        <v>2.3975948947707915E-7</v>
      </c>
      <c r="F1182" s="4">
        <f t="shared" si="642"/>
        <v>2.3975948947707915E-7</v>
      </c>
      <c r="G1182" s="4">
        <f t="shared" si="642"/>
        <v>2.3975948947707915E-7</v>
      </c>
      <c r="H1182" s="4">
        <f t="shared" si="642"/>
        <v>2.3975948947707915E-7</v>
      </c>
      <c r="I1182" s="4">
        <f t="shared" si="642"/>
        <v>2.3975948947707915E-7</v>
      </c>
      <c r="J1182" s="4">
        <f t="shared" si="642"/>
        <v>2.3975948947707915E-7</v>
      </c>
      <c r="K1182" s="4">
        <f t="shared" si="642"/>
        <v>2.3975948947707915E-7</v>
      </c>
      <c r="L1182" s="4">
        <f t="shared" si="642"/>
        <v>2.3975948947707915E-7</v>
      </c>
      <c r="M1182" s="4">
        <f t="shared" si="642"/>
        <v>2.3975948947707915E-7</v>
      </c>
      <c r="N1182" t="s">
        <v>256</v>
      </c>
      <c r="O1182" t="s">
        <v>353</v>
      </c>
      <c r="P1182" t="s">
        <v>351</v>
      </c>
      <c r="Q1182" s="4" t="s">
        <v>245</v>
      </c>
    </row>
    <row r="1183" spans="1:17" x14ac:dyDescent="0.25">
      <c r="A1183" t="s">
        <v>565</v>
      </c>
      <c r="B1183" t="s">
        <v>117</v>
      </c>
      <c r="C1183" s="4">
        <f t="shared" ref="C1183:M1183" si="643">(0.0181224344560457/(0.0328453630665826+0.350336698877979+0.0822572721273277+0.0181224344560457+0.178561789731549)) * 0.000192992549100471%</f>
        <v>5.2822389083576618E-8</v>
      </c>
      <c r="D1183" s="4">
        <f t="shared" si="643"/>
        <v>5.2822389083576618E-8</v>
      </c>
      <c r="E1183" s="4">
        <f t="shared" si="643"/>
        <v>5.2822389083576618E-8</v>
      </c>
      <c r="F1183" s="4">
        <f t="shared" si="643"/>
        <v>5.2822389083576618E-8</v>
      </c>
      <c r="G1183" s="4">
        <f t="shared" si="643"/>
        <v>5.2822389083576618E-8</v>
      </c>
      <c r="H1183" s="4">
        <f t="shared" si="643"/>
        <v>5.2822389083576618E-8</v>
      </c>
      <c r="I1183" s="4">
        <f t="shared" si="643"/>
        <v>5.2822389083576618E-8</v>
      </c>
      <c r="J1183" s="4">
        <f t="shared" si="643"/>
        <v>5.2822389083576618E-8</v>
      </c>
      <c r="K1183" s="4">
        <f t="shared" si="643"/>
        <v>5.2822389083576618E-8</v>
      </c>
      <c r="L1183" s="4">
        <f t="shared" si="643"/>
        <v>5.2822389083576618E-8</v>
      </c>
      <c r="M1183" s="4">
        <f t="shared" si="643"/>
        <v>5.2822389083576618E-8</v>
      </c>
      <c r="N1183" t="s">
        <v>256</v>
      </c>
      <c r="O1183" t="s">
        <v>280</v>
      </c>
      <c r="P1183" t="s">
        <v>351</v>
      </c>
      <c r="Q1183" s="4" t="s">
        <v>245</v>
      </c>
    </row>
    <row r="1184" spans="1:17" x14ac:dyDescent="0.25">
      <c r="A1184" t="s">
        <v>565</v>
      </c>
      <c r="B1184" t="s">
        <v>117</v>
      </c>
      <c r="C1184" s="4">
        <f t="shared" ref="C1184:M1184" si="644">(0.178561789731549/(0.0328453630665826+0.350336698877979+0.0822572721273277+0.0181224344560457+0.178561789731549)) * 0.000192992549100471%</f>
        <v>5.2046320573189403E-7</v>
      </c>
      <c r="D1184" s="4">
        <f t="shared" si="644"/>
        <v>5.2046320573189403E-7</v>
      </c>
      <c r="E1184" s="4">
        <f t="shared" si="644"/>
        <v>5.2046320573189403E-7</v>
      </c>
      <c r="F1184" s="4">
        <f t="shared" si="644"/>
        <v>5.2046320573189403E-7</v>
      </c>
      <c r="G1184" s="4">
        <f t="shared" si="644"/>
        <v>5.2046320573189403E-7</v>
      </c>
      <c r="H1184" s="4">
        <f t="shared" si="644"/>
        <v>5.2046320573189403E-7</v>
      </c>
      <c r="I1184" s="4">
        <f t="shared" si="644"/>
        <v>5.2046320573189403E-7</v>
      </c>
      <c r="J1184" s="4">
        <f t="shared" si="644"/>
        <v>5.2046320573189403E-7</v>
      </c>
      <c r="K1184" s="4">
        <f t="shared" si="644"/>
        <v>5.2046320573189403E-7</v>
      </c>
      <c r="L1184" s="4">
        <f t="shared" si="644"/>
        <v>5.2046320573189403E-7</v>
      </c>
      <c r="M1184" s="4">
        <f t="shared" si="644"/>
        <v>5.2046320573189403E-7</v>
      </c>
      <c r="N1184" t="s">
        <v>256</v>
      </c>
      <c r="O1184" t="s">
        <v>354</v>
      </c>
      <c r="P1184" t="s">
        <v>351</v>
      </c>
      <c r="Q1184" s="4" t="s">
        <v>245</v>
      </c>
    </row>
    <row r="1185" spans="1:17" x14ac:dyDescent="0.25">
      <c r="A1185" t="s">
        <v>565</v>
      </c>
      <c r="B1185" t="s">
        <v>92</v>
      </c>
      <c r="C1185" s="4">
        <f t="shared" ref="C1185:M1185" si="645">(0.0328453630665826/(0.0328453630665826+0.350336698877979+0.0822572721273277+0.0181224344560457+0.178561789731549)) * 3.87703938091368%</f>
        <v>1.923247776053956E-3</v>
      </c>
      <c r="D1185" s="4">
        <f t="shared" si="645"/>
        <v>1.923247776053956E-3</v>
      </c>
      <c r="E1185" s="4">
        <f t="shared" si="645"/>
        <v>1.923247776053956E-3</v>
      </c>
      <c r="F1185" s="4">
        <f t="shared" si="645"/>
        <v>1.923247776053956E-3</v>
      </c>
      <c r="G1185" s="4">
        <f t="shared" si="645"/>
        <v>1.923247776053956E-3</v>
      </c>
      <c r="H1185" s="4">
        <f t="shared" si="645"/>
        <v>1.923247776053956E-3</v>
      </c>
      <c r="I1185" s="4">
        <f t="shared" si="645"/>
        <v>1.923247776053956E-3</v>
      </c>
      <c r="J1185" s="4">
        <f t="shared" si="645"/>
        <v>1.923247776053956E-3</v>
      </c>
      <c r="K1185" s="4">
        <f t="shared" si="645"/>
        <v>1.923247776053956E-3</v>
      </c>
      <c r="L1185" s="4">
        <f t="shared" si="645"/>
        <v>1.923247776053956E-3</v>
      </c>
      <c r="M1185" s="4">
        <f t="shared" si="645"/>
        <v>1.923247776053956E-3</v>
      </c>
      <c r="N1185" t="s">
        <v>242</v>
      </c>
      <c r="O1185" t="s">
        <v>358</v>
      </c>
      <c r="P1185" t="s">
        <v>351</v>
      </c>
      <c r="Q1185" s="4" t="s">
        <v>245</v>
      </c>
    </row>
    <row r="1186" spans="1:17" x14ac:dyDescent="0.25">
      <c r="A1186" t="s">
        <v>565</v>
      </c>
      <c r="B1186" t="s">
        <v>92</v>
      </c>
      <c r="C1186" s="4">
        <f t="shared" ref="C1186:M1186" si="646">(0.350336698877979/(0.0328453630665826+0.350336698877979+0.0822572721273277+0.0181224344560457+0.178561789731549)) * 3.87703938091368%</f>
        <v>2.0513832519412047E-2</v>
      </c>
      <c r="D1186" s="4">
        <f t="shared" si="646"/>
        <v>2.0513832519412047E-2</v>
      </c>
      <c r="E1186" s="4">
        <f t="shared" si="646"/>
        <v>2.0513832519412047E-2</v>
      </c>
      <c r="F1186" s="4">
        <f t="shared" si="646"/>
        <v>2.0513832519412047E-2</v>
      </c>
      <c r="G1186" s="4">
        <f t="shared" si="646"/>
        <v>2.0513832519412047E-2</v>
      </c>
      <c r="H1186" s="4">
        <f t="shared" si="646"/>
        <v>2.0513832519412047E-2</v>
      </c>
      <c r="I1186" s="4">
        <f t="shared" si="646"/>
        <v>2.0513832519412047E-2</v>
      </c>
      <c r="J1186" s="4">
        <f t="shared" si="646"/>
        <v>2.0513832519412047E-2</v>
      </c>
      <c r="K1186" s="4">
        <f t="shared" si="646"/>
        <v>2.0513832519412047E-2</v>
      </c>
      <c r="L1186" s="4">
        <f t="shared" si="646"/>
        <v>2.0513832519412047E-2</v>
      </c>
      <c r="M1186" s="4">
        <f t="shared" si="646"/>
        <v>2.0513832519412047E-2</v>
      </c>
      <c r="N1186" t="s">
        <v>256</v>
      </c>
      <c r="O1186" t="s">
        <v>356</v>
      </c>
      <c r="P1186" t="s">
        <v>351</v>
      </c>
      <c r="Q1186" s="4" t="s">
        <v>245</v>
      </c>
    </row>
    <row r="1187" spans="1:17" x14ac:dyDescent="0.25">
      <c r="A1187" t="s">
        <v>565</v>
      </c>
      <c r="B1187" t="s">
        <v>92</v>
      </c>
      <c r="C1187" s="4">
        <f t="shared" ref="C1187:M1187" si="647">(0.0822572721273277/(0.0328453630665826+0.350336698877979+0.0822572721273277+0.0181224344560457+0.178561789731549)) * 3.87703938091368%</f>
        <v>4.8165433690731344E-3</v>
      </c>
      <c r="D1187" s="4">
        <f t="shared" si="647"/>
        <v>4.8165433690731344E-3</v>
      </c>
      <c r="E1187" s="4">
        <f t="shared" si="647"/>
        <v>4.8165433690731344E-3</v>
      </c>
      <c r="F1187" s="4">
        <f t="shared" si="647"/>
        <v>4.8165433690731344E-3</v>
      </c>
      <c r="G1187" s="4">
        <f t="shared" si="647"/>
        <v>4.8165433690731344E-3</v>
      </c>
      <c r="H1187" s="4">
        <f t="shared" si="647"/>
        <v>4.8165433690731344E-3</v>
      </c>
      <c r="I1187" s="4">
        <f t="shared" si="647"/>
        <v>4.8165433690731344E-3</v>
      </c>
      <c r="J1187" s="4">
        <f t="shared" si="647"/>
        <v>4.8165433690731344E-3</v>
      </c>
      <c r="K1187" s="4">
        <f t="shared" si="647"/>
        <v>4.8165433690731344E-3</v>
      </c>
      <c r="L1187" s="4">
        <f t="shared" si="647"/>
        <v>4.8165433690731344E-3</v>
      </c>
      <c r="M1187" s="4">
        <f t="shared" si="647"/>
        <v>4.8165433690731344E-3</v>
      </c>
      <c r="N1187" t="s">
        <v>256</v>
      </c>
      <c r="O1187" t="s">
        <v>353</v>
      </c>
      <c r="P1187" t="s">
        <v>351</v>
      </c>
      <c r="Q1187" s="4" t="s">
        <v>245</v>
      </c>
    </row>
    <row r="1188" spans="1:17" x14ac:dyDescent="0.25">
      <c r="A1188" t="s">
        <v>565</v>
      </c>
      <c r="B1188" t="s">
        <v>92</v>
      </c>
      <c r="C1188" s="4">
        <f t="shared" ref="C1188:M1188" si="648">(0.0181224344560457/(0.0328453630665826+0.350336698877979+0.0822572721273277+0.0181224344560457+0.178561789731549)) * 3.87703938091368%</f>
        <v>1.0611522756992882E-3</v>
      </c>
      <c r="D1188" s="4">
        <f t="shared" si="648"/>
        <v>1.0611522756992882E-3</v>
      </c>
      <c r="E1188" s="4">
        <f t="shared" si="648"/>
        <v>1.0611522756992882E-3</v>
      </c>
      <c r="F1188" s="4">
        <f t="shared" si="648"/>
        <v>1.0611522756992882E-3</v>
      </c>
      <c r="G1188" s="4">
        <f t="shared" si="648"/>
        <v>1.0611522756992882E-3</v>
      </c>
      <c r="H1188" s="4">
        <f t="shared" si="648"/>
        <v>1.0611522756992882E-3</v>
      </c>
      <c r="I1188" s="4">
        <f t="shared" si="648"/>
        <v>1.0611522756992882E-3</v>
      </c>
      <c r="J1188" s="4">
        <f t="shared" si="648"/>
        <v>1.0611522756992882E-3</v>
      </c>
      <c r="K1188" s="4">
        <f t="shared" si="648"/>
        <v>1.0611522756992882E-3</v>
      </c>
      <c r="L1188" s="4">
        <f t="shared" si="648"/>
        <v>1.0611522756992882E-3</v>
      </c>
      <c r="M1188" s="4">
        <f t="shared" si="648"/>
        <v>1.0611522756992882E-3</v>
      </c>
      <c r="N1188" t="s">
        <v>256</v>
      </c>
      <c r="O1188" t="s">
        <v>280</v>
      </c>
      <c r="P1188" t="s">
        <v>351</v>
      </c>
      <c r="Q1188" s="4" t="s">
        <v>245</v>
      </c>
    </row>
    <row r="1189" spans="1:17" x14ac:dyDescent="0.25">
      <c r="A1189" t="s">
        <v>565</v>
      </c>
      <c r="B1189" t="s">
        <v>92</v>
      </c>
      <c r="C1189" s="4">
        <f t="shared" ref="C1189:M1189" si="649">(0.178561789731549/(0.0328453630665826+0.350336698877979+0.0822572721273277+0.0181224344560457+0.178561789731549)) * 3.87703938091368%</f>
        <v>1.0455617868898374E-2</v>
      </c>
      <c r="D1189" s="4">
        <f t="shared" si="649"/>
        <v>1.0455617868898374E-2</v>
      </c>
      <c r="E1189" s="4">
        <f t="shared" si="649"/>
        <v>1.0455617868898374E-2</v>
      </c>
      <c r="F1189" s="4">
        <f t="shared" si="649"/>
        <v>1.0455617868898374E-2</v>
      </c>
      <c r="G1189" s="4">
        <f t="shared" si="649"/>
        <v>1.0455617868898374E-2</v>
      </c>
      <c r="H1189" s="4">
        <f t="shared" si="649"/>
        <v>1.0455617868898374E-2</v>
      </c>
      <c r="I1189" s="4">
        <f t="shared" si="649"/>
        <v>1.0455617868898374E-2</v>
      </c>
      <c r="J1189" s="4">
        <f t="shared" si="649"/>
        <v>1.0455617868898374E-2</v>
      </c>
      <c r="K1189" s="4">
        <f t="shared" si="649"/>
        <v>1.0455617868898374E-2</v>
      </c>
      <c r="L1189" s="4">
        <f t="shared" si="649"/>
        <v>1.0455617868898374E-2</v>
      </c>
      <c r="M1189" s="4">
        <f t="shared" si="649"/>
        <v>1.0455617868898374E-2</v>
      </c>
      <c r="N1189" t="s">
        <v>256</v>
      </c>
      <c r="O1189" t="s">
        <v>354</v>
      </c>
      <c r="P1189" t="s">
        <v>351</v>
      </c>
      <c r="Q1189" s="4" t="s">
        <v>245</v>
      </c>
    </row>
    <row r="1190" spans="1:17" x14ac:dyDescent="0.25">
      <c r="A1190" t="s">
        <v>565</v>
      </c>
      <c r="B1190" t="s">
        <v>93</v>
      </c>
      <c r="C1190" s="4">
        <f t="shared" ref="C1190:M1190" si="650">(0.0328453630665826/(0.0328453630665826+0.350336698877979+0.0822572721273277+0.0181224344560457+0.178561789731549)) * 0.0813946075831235%</f>
        <v>4.0376685051915925E-5</v>
      </c>
      <c r="D1190" s="4">
        <f t="shared" si="650"/>
        <v>4.0376685051915925E-5</v>
      </c>
      <c r="E1190" s="4">
        <f t="shared" si="650"/>
        <v>4.0376685051915925E-5</v>
      </c>
      <c r="F1190" s="4">
        <f t="shared" si="650"/>
        <v>4.0376685051915925E-5</v>
      </c>
      <c r="G1190" s="4">
        <f t="shared" si="650"/>
        <v>4.0376685051915925E-5</v>
      </c>
      <c r="H1190" s="4">
        <f t="shared" si="650"/>
        <v>4.0376685051915925E-5</v>
      </c>
      <c r="I1190" s="4">
        <f t="shared" si="650"/>
        <v>4.0376685051915925E-5</v>
      </c>
      <c r="J1190" s="4">
        <f t="shared" si="650"/>
        <v>4.0376685051915925E-5</v>
      </c>
      <c r="K1190" s="4">
        <f t="shared" si="650"/>
        <v>4.0376685051915925E-5</v>
      </c>
      <c r="L1190" s="4">
        <f t="shared" si="650"/>
        <v>4.0376685051915925E-5</v>
      </c>
      <c r="M1190" s="4">
        <f t="shared" si="650"/>
        <v>4.0376685051915925E-5</v>
      </c>
      <c r="N1190" t="s">
        <v>242</v>
      </c>
      <c r="O1190" t="s">
        <v>358</v>
      </c>
      <c r="P1190" t="s">
        <v>351</v>
      </c>
      <c r="Q1190" s="4" t="s">
        <v>245</v>
      </c>
    </row>
    <row r="1191" spans="1:17" x14ac:dyDescent="0.25">
      <c r="A1191" t="s">
        <v>565</v>
      </c>
      <c r="B1191" t="s">
        <v>93</v>
      </c>
      <c r="C1191" s="4">
        <f t="shared" ref="C1191:M1191" si="651">(0.350336698877979/(0.0328453630665826+0.350336698877979+0.0822572721273277+0.0181224344560457+0.178561789731549)) * 0.0813946075831235%</f>
        <v>4.306676264789369E-4</v>
      </c>
      <c r="D1191" s="4">
        <f t="shared" si="651"/>
        <v>4.306676264789369E-4</v>
      </c>
      <c r="E1191" s="4">
        <f t="shared" si="651"/>
        <v>4.306676264789369E-4</v>
      </c>
      <c r="F1191" s="4">
        <f t="shared" si="651"/>
        <v>4.306676264789369E-4</v>
      </c>
      <c r="G1191" s="4">
        <f t="shared" si="651"/>
        <v>4.306676264789369E-4</v>
      </c>
      <c r="H1191" s="4">
        <f t="shared" si="651"/>
        <v>4.306676264789369E-4</v>
      </c>
      <c r="I1191" s="4">
        <f t="shared" si="651"/>
        <v>4.306676264789369E-4</v>
      </c>
      <c r="J1191" s="4">
        <f t="shared" si="651"/>
        <v>4.306676264789369E-4</v>
      </c>
      <c r="K1191" s="4">
        <f t="shared" si="651"/>
        <v>4.306676264789369E-4</v>
      </c>
      <c r="L1191" s="4">
        <f t="shared" si="651"/>
        <v>4.306676264789369E-4</v>
      </c>
      <c r="M1191" s="4">
        <f t="shared" si="651"/>
        <v>4.306676264789369E-4</v>
      </c>
      <c r="N1191" t="s">
        <v>256</v>
      </c>
      <c r="O1191" t="s">
        <v>356</v>
      </c>
      <c r="P1191" t="s">
        <v>351</v>
      </c>
      <c r="Q1191" s="4" t="s">
        <v>245</v>
      </c>
    </row>
    <row r="1192" spans="1:17" x14ac:dyDescent="0.25">
      <c r="A1192" t="s">
        <v>565</v>
      </c>
      <c r="B1192" t="s">
        <v>93</v>
      </c>
      <c r="C1192" s="4">
        <f t="shared" ref="C1192:M1192" si="652">(0.0822572721273277/(0.0328453630665826+0.350336698877979+0.0822572721273277+0.0181224344560457+0.178561789731549)) * 0.0813946075831235%</f>
        <v>1.0111856468695795E-4</v>
      </c>
      <c r="D1192" s="4">
        <f t="shared" si="652"/>
        <v>1.0111856468695795E-4</v>
      </c>
      <c r="E1192" s="4">
        <f t="shared" si="652"/>
        <v>1.0111856468695795E-4</v>
      </c>
      <c r="F1192" s="4">
        <f t="shared" si="652"/>
        <v>1.0111856468695795E-4</v>
      </c>
      <c r="G1192" s="4">
        <f t="shared" si="652"/>
        <v>1.0111856468695795E-4</v>
      </c>
      <c r="H1192" s="4">
        <f t="shared" si="652"/>
        <v>1.0111856468695795E-4</v>
      </c>
      <c r="I1192" s="4">
        <f t="shared" si="652"/>
        <v>1.0111856468695795E-4</v>
      </c>
      <c r="J1192" s="4">
        <f t="shared" si="652"/>
        <v>1.0111856468695795E-4</v>
      </c>
      <c r="K1192" s="4">
        <f t="shared" si="652"/>
        <v>1.0111856468695795E-4</v>
      </c>
      <c r="L1192" s="4">
        <f t="shared" si="652"/>
        <v>1.0111856468695795E-4</v>
      </c>
      <c r="M1192" s="4">
        <f t="shared" si="652"/>
        <v>1.0111856468695795E-4</v>
      </c>
      <c r="N1192" t="s">
        <v>256</v>
      </c>
      <c r="O1192" t="s">
        <v>353</v>
      </c>
      <c r="P1192" t="s">
        <v>351</v>
      </c>
      <c r="Q1192" s="4" t="s">
        <v>245</v>
      </c>
    </row>
    <row r="1193" spans="1:17" x14ac:dyDescent="0.25">
      <c r="A1193" t="s">
        <v>565</v>
      </c>
      <c r="B1193" t="s">
        <v>93</v>
      </c>
      <c r="C1193" s="4">
        <f t="shared" ref="C1193:M1193" si="653">(0.0181224344560457/(0.0328453630665826+0.350336698877979+0.0822572721273277+0.0181224344560457+0.178561789731549)) * 0.0813946075831235%</f>
        <v>2.2277842595998399E-5</v>
      </c>
      <c r="D1193" s="4">
        <f t="shared" si="653"/>
        <v>2.2277842595998399E-5</v>
      </c>
      <c r="E1193" s="4">
        <f t="shared" si="653"/>
        <v>2.2277842595998399E-5</v>
      </c>
      <c r="F1193" s="4">
        <f t="shared" si="653"/>
        <v>2.2277842595998399E-5</v>
      </c>
      <c r="G1193" s="4">
        <f t="shared" si="653"/>
        <v>2.2277842595998399E-5</v>
      </c>
      <c r="H1193" s="4">
        <f t="shared" si="653"/>
        <v>2.2277842595998399E-5</v>
      </c>
      <c r="I1193" s="4">
        <f t="shared" si="653"/>
        <v>2.2277842595998399E-5</v>
      </c>
      <c r="J1193" s="4">
        <f t="shared" si="653"/>
        <v>2.2277842595998399E-5</v>
      </c>
      <c r="K1193" s="4">
        <f t="shared" si="653"/>
        <v>2.2277842595998399E-5</v>
      </c>
      <c r="L1193" s="4">
        <f t="shared" si="653"/>
        <v>2.2277842595998399E-5</v>
      </c>
      <c r="M1193" s="4">
        <f t="shared" si="653"/>
        <v>2.2277842595998399E-5</v>
      </c>
      <c r="N1193" t="s">
        <v>256</v>
      </c>
      <c r="O1193" t="s">
        <v>280</v>
      </c>
      <c r="P1193" t="s">
        <v>351</v>
      </c>
      <c r="Q1193" s="4" t="s">
        <v>245</v>
      </c>
    </row>
    <row r="1194" spans="1:17" x14ac:dyDescent="0.25">
      <c r="A1194" t="s">
        <v>565</v>
      </c>
      <c r="B1194" t="s">
        <v>93</v>
      </c>
      <c r="C1194" s="4">
        <f t="shared" ref="C1194:M1194" si="654">(0.178561789731549/(0.0328453630665826+0.350336698877979+0.0822572721273277+0.0181224344560457+0.178561789731549)) * 0.0813946075831235%</f>
        <v>2.195053570174259E-4</v>
      </c>
      <c r="D1194" s="4">
        <f t="shared" si="654"/>
        <v>2.195053570174259E-4</v>
      </c>
      <c r="E1194" s="4">
        <f t="shared" si="654"/>
        <v>2.195053570174259E-4</v>
      </c>
      <c r="F1194" s="4">
        <f t="shared" si="654"/>
        <v>2.195053570174259E-4</v>
      </c>
      <c r="G1194" s="4">
        <f t="shared" si="654"/>
        <v>2.195053570174259E-4</v>
      </c>
      <c r="H1194" s="4">
        <f t="shared" si="654"/>
        <v>2.195053570174259E-4</v>
      </c>
      <c r="I1194" s="4">
        <f t="shared" si="654"/>
        <v>2.195053570174259E-4</v>
      </c>
      <c r="J1194" s="4">
        <f t="shared" si="654"/>
        <v>2.195053570174259E-4</v>
      </c>
      <c r="K1194" s="4">
        <f t="shared" si="654"/>
        <v>2.195053570174259E-4</v>
      </c>
      <c r="L1194" s="4">
        <f t="shared" si="654"/>
        <v>2.195053570174259E-4</v>
      </c>
      <c r="M1194" s="4">
        <f t="shared" si="654"/>
        <v>2.195053570174259E-4</v>
      </c>
      <c r="N1194" t="s">
        <v>256</v>
      </c>
      <c r="O1194" t="s">
        <v>354</v>
      </c>
      <c r="P1194" t="s">
        <v>351</v>
      </c>
      <c r="Q1194" s="4" t="s">
        <v>245</v>
      </c>
    </row>
    <row r="1195" spans="1:17" x14ac:dyDescent="0.25">
      <c r="A1195" t="s">
        <v>565</v>
      </c>
      <c r="B1195" t="s">
        <v>196</v>
      </c>
      <c r="C1195" s="4">
        <f t="shared" ref="C1195:M1195" si="655">(0.0328453630665826/(0.0328453630665826+0.350336698877979+0.0822572721273277+0.0181224344560457+0.178561789731549)) * 0.00993308526151486%</f>
        <v>4.9274155513119138E-6</v>
      </c>
      <c r="D1195" s="4">
        <f t="shared" si="655"/>
        <v>4.9274155513119138E-6</v>
      </c>
      <c r="E1195" s="4">
        <f t="shared" si="655"/>
        <v>4.9274155513119138E-6</v>
      </c>
      <c r="F1195" s="4">
        <f t="shared" si="655"/>
        <v>4.9274155513119138E-6</v>
      </c>
      <c r="G1195" s="4">
        <f t="shared" si="655"/>
        <v>4.9274155513119138E-6</v>
      </c>
      <c r="H1195" s="4">
        <f t="shared" si="655"/>
        <v>4.9274155513119138E-6</v>
      </c>
      <c r="I1195" s="4">
        <f t="shared" si="655"/>
        <v>4.9274155513119138E-6</v>
      </c>
      <c r="J1195" s="4">
        <f t="shared" si="655"/>
        <v>4.9274155513119138E-6</v>
      </c>
      <c r="K1195" s="4">
        <f t="shared" si="655"/>
        <v>4.9274155513119138E-6</v>
      </c>
      <c r="L1195" s="4">
        <f t="shared" si="655"/>
        <v>4.9274155513119138E-6</v>
      </c>
      <c r="M1195" s="4">
        <f t="shared" si="655"/>
        <v>4.9274155513119138E-6</v>
      </c>
      <c r="N1195" t="s">
        <v>242</v>
      </c>
      <c r="O1195" t="s">
        <v>358</v>
      </c>
      <c r="P1195" t="s">
        <v>351</v>
      </c>
      <c r="Q1195" s="4" t="s">
        <v>245</v>
      </c>
    </row>
    <row r="1196" spans="1:17" x14ac:dyDescent="0.25">
      <c r="A1196" t="s">
        <v>565</v>
      </c>
      <c r="B1196" t="s">
        <v>196</v>
      </c>
      <c r="C1196" s="4">
        <f t="shared" ref="C1196:M1196" si="656">(0.350336698877979/(0.0328453630665826+0.350336698877979+0.0822572721273277+0.0181224344560457+0.178561789731549)) * 0.00993308526151486%</f>
        <v>5.255702288165455E-5</v>
      </c>
      <c r="D1196" s="4">
        <f t="shared" si="656"/>
        <v>5.255702288165455E-5</v>
      </c>
      <c r="E1196" s="4">
        <f t="shared" si="656"/>
        <v>5.255702288165455E-5</v>
      </c>
      <c r="F1196" s="4">
        <f t="shared" si="656"/>
        <v>5.255702288165455E-5</v>
      </c>
      <c r="G1196" s="4">
        <f t="shared" si="656"/>
        <v>5.255702288165455E-5</v>
      </c>
      <c r="H1196" s="4">
        <f t="shared" si="656"/>
        <v>5.255702288165455E-5</v>
      </c>
      <c r="I1196" s="4">
        <f t="shared" si="656"/>
        <v>5.255702288165455E-5</v>
      </c>
      <c r="J1196" s="4">
        <f t="shared" si="656"/>
        <v>5.255702288165455E-5</v>
      </c>
      <c r="K1196" s="4">
        <f t="shared" si="656"/>
        <v>5.255702288165455E-5</v>
      </c>
      <c r="L1196" s="4">
        <f t="shared" si="656"/>
        <v>5.255702288165455E-5</v>
      </c>
      <c r="M1196" s="4">
        <f t="shared" si="656"/>
        <v>5.255702288165455E-5</v>
      </c>
      <c r="N1196" t="s">
        <v>256</v>
      </c>
      <c r="O1196" t="s">
        <v>356</v>
      </c>
      <c r="P1196" t="s">
        <v>351</v>
      </c>
      <c r="Q1196" s="4" t="s">
        <v>245</v>
      </c>
    </row>
    <row r="1197" spans="1:17" x14ac:dyDescent="0.25">
      <c r="A1197" t="s">
        <v>565</v>
      </c>
      <c r="B1197" t="s">
        <v>196</v>
      </c>
      <c r="C1197" s="4">
        <f t="shared" ref="C1197:M1197" si="657">(0.0822572721273277/(0.0328453630665826+0.350336698877979+0.0822572721273277+0.0181224344560457+0.178561789731549)) * 0.00993308526151486%</f>
        <v>1.2340121224023407E-5</v>
      </c>
      <c r="D1197" s="4">
        <f t="shared" si="657"/>
        <v>1.2340121224023407E-5</v>
      </c>
      <c r="E1197" s="4">
        <f t="shared" si="657"/>
        <v>1.2340121224023407E-5</v>
      </c>
      <c r="F1197" s="4">
        <f t="shared" si="657"/>
        <v>1.2340121224023407E-5</v>
      </c>
      <c r="G1197" s="4">
        <f t="shared" si="657"/>
        <v>1.2340121224023407E-5</v>
      </c>
      <c r="H1197" s="4">
        <f t="shared" si="657"/>
        <v>1.2340121224023407E-5</v>
      </c>
      <c r="I1197" s="4">
        <f t="shared" si="657"/>
        <v>1.2340121224023407E-5</v>
      </c>
      <c r="J1197" s="4">
        <f t="shared" si="657"/>
        <v>1.2340121224023407E-5</v>
      </c>
      <c r="K1197" s="4">
        <f t="shared" si="657"/>
        <v>1.2340121224023407E-5</v>
      </c>
      <c r="L1197" s="4">
        <f t="shared" si="657"/>
        <v>1.2340121224023407E-5</v>
      </c>
      <c r="M1197" s="4">
        <f t="shared" si="657"/>
        <v>1.2340121224023407E-5</v>
      </c>
      <c r="N1197" t="s">
        <v>256</v>
      </c>
      <c r="O1197" t="s">
        <v>353</v>
      </c>
      <c r="P1197" t="s">
        <v>351</v>
      </c>
      <c r="Q1197" s="4" t="s">
        <v>245</v>
      </c>
    </row>
    <row r="1198" spans="1:17" x14ac:dyDescent="0.25">
      <c r="A1198" t="s">
        <v>565</v>
      </c>
      <c r="B1198" t="s">
        <v>196</v>
      </c>
      <c r="C1198" s="4">
        <f t="shared" ref="C1198:M1198" si="658">(0.0181224344560457/(0.0328453630665826+0.350336698877979+0.0822572721273277+0.0181224344560457+0.178561789731549)) * 0.00993308526151486%</f>
        <v>2.7187023381453319E-6</v>
      </c>
      <c r="D1198" s="4">
        <f t="shared" si="658"/>
        <v>2.7187023381453319E-6</v>
      </c>
      <c r="E1198" s="4">
        <f t="shared" si="658"/>
        <v>2.7187023381453319E-6</v>
      </c>
      <c r="F1198" s="4">
        <f t="shared" si="658"/>
        <v>2.7187023381453319E-6</v>
      </c>
      <c r="G1198" s="4">
        <f t="shared" si="658"/>
        <v>2.7187023381453319E-6</v>
      </c>
      <c r="H1198" s="4">
        <f t="shared" si="658"/>
        <v>2.7187023381453319E-6</v>
      </c>
      <c r="I1198" s="4">
        <f t="shared" si="658"/>
        <v>2.7187023381453319E-6</v>
      </c>
      <c r="J1198" s="4">
        <f t="shared" si="658"/>
        <v>2.7187023381453319E-6</v>
      </c>
      <c r="K1198" s="4">
        <f t="shared" si="658"/>
        <v>2.7187023381453319E-6</v>
      </c>
      <c r="L1198" s="4">
        <f t="shared" si="658"/>
        <v>2.7187023381453319E-6</v>
      </c>
      <c r="M1198" s="4">
        <f t="shared" si="658"/>
        <v>2.7187023381453319E-6</v>
      </c>
      <c r="N1198" t="s">
        <v>256</v>
      </c>
      <c r="O1198" t="s">
        <v>280</v>
      </c>
      <c r="P1198" t="s">
        <v>351</v>
      </c>
      <c r="Q1198" s="4" t="s">
        <v>245</v>
      </c>
    </row>
    <row r="1199" spans="1:17" x14ac:dyDescent="0.25">
      <c r="A1199" t="s">
        <v>565</v>
      </c>
      <c r="B1199" t="s">
        <v>196</v>
      </c>
      <c r="C1199" s="4">
        <f t="shared" ref="C1199:M1199" si="659">(0.178561789731549/(0.0328453630665826+0.350336698877979+0.0822572721273277+0.0181224344560457+0.178561789731549)) * 0.00993308526151486%</f>
        <v>2.6787590620013396E-5</v>
      </c>
      <c r="D1199" s="4">
        <f t="shared" si="659"/>
        <v>2.6787590620013396E-5</v>
      </c>
      <c r="E1199" s="4">
        <f t="shared" si="659"/>
        <v>2.6787590620013396E-5</v>
      </c>
      <c r="F1199" s="4">
        <f t="shared" si="659"/>
        <v>2.6787590620013396E-5</v>
      </c>
      <c r="G1199" s="4">
        <f t="shared" si="659"/>
        <v>2.6787590620013396E-5</v>
      </c>
      <c r="H1199" s="4">
        <f t="shared" si="659"/>
        <v>2.6787590620013396E-5</v>
      </c>
      <c r="I1199" s="4">
        <f t="shared" si="659"/>
        <v>2.6787590620013396E-5</v>
      </c>
      <c r="J1199" s="4">
        <f t="shared" si="659"/>
        <v>2.6787590620013396E-5</v>
      </c>
      <c r="K1199" s="4">
        <f t="shared" si="659"/>
        <v>2.6787590620013396E-5</v>
      </c>
      <c r="L1199" s="4">
        <f t="shared" si="659"/>
        <v>2.6787590620013396E-5</v>
      </c>
      <c r="M1199" s="4">
        <f t="shared" si="659"/>
        <v>2.6787590620013396E-5</v>
      </c>
      <c r="N1199" t="s">
        <v>256</v>
      </c>
      <c r="O1199" t="s">
        <v>354</v>
      </c>
      <c r="P1199" t="s">
        <v>351</v>
      </c>
      <c r="Q1199" s="4" t="s">
        <v>245</v>
      </c>
    </row>
    <row r="1200" spans="1:17" x14ac:dyDescent="0.25">
      <c r="A1200" t="s">
        <v>565</v>
      </c>
      <c r="B1200" t="s">
        <v>94</v>
      </c>
      <c r="C1200" s="4">
        <f t="shared" ref="C1200:M1200" si="660">(0.0328453630665826/(0.0328453630665826+0.350336698877979+0.0822572721273277+0.0181224344560457+0.178561789731549)) * 1.75833702180291%</f>
        <v>8.7224230514234104E-4</v>
      </c>
      <c r="D1200" s="4">
        <f t="shared" si="660"/>
        <v>8.7224230514234104E-4</v>
      </c>
      <c r="E1200" s="4">
        <f t="shared" si="660"/>
        <v>8.7224230514234104E-4</v>
      </c>
      <c r="F1200" s="4">
        <f t="shared" si="660"/>
        <v>8.7224230514234104E-4</v>
      </c>
      <c r="G1200" s="4">
        <f t="shared" si="660"/>
        <v>8.7224230514234104E-4</v>
      </c>
      <c r="H1200" s="4">
        <f t="shared" si="660"/>
        <v>8.7224230514234104E-4</v>
      </c>
      <c r="I1200" s="4">
        <f t="shared" si="660"/>
        <v>8.7224230514234104E-4</v>
      </c>
      <c r="J1200" s="4">
        <f t="shared" si="660"/>
        <v>8.7224230514234104E-4</v>
      </c>
      <c r="K1200" s="4">
        <f t="shared" si="660"/>
        <v>8.7224230514234104E-4</v>
      </c>
      <c r="L1200" s="4">
        <f t="shared" si="660"/>
        <v>8.7224230514234104E-4</v>
      </c>
      <c r="M1200" s="4">
        <f t="shared" si="660"/>
        <v>8.7224230514234104E-4</v>
      </c>
      <c r="N1200" t="s">
        <v>242</v>
      </c>
      <c r="O1200" t="s">
        <v>358</v>
      </c>
      <c r="P1200" t="s">
        <v>351</v>
      </c>
      <c r="Q1200" s="4" t="s">
        <v>245</v>
      </c>
    </row>
    <row r="1201" spans="1:17" x14ac:dyDescent="0.25">
      <c r="A1201" t="s">
        <v>565</v>
      </c>
      <c r="B1201" t="s">
        <v>94</v>
      </c>
      <c r="C1201" s="4">
        <f t="shared" ref="C1201:M1201" si="661">(0.350336698877979/(0.0328453630665826+0.350336698877979+0.0822572721273277+0.0181224344560457+0.178561789731549)) * 1.75833702180291%</f>
        <v>9.303550372874005E-3</v>
      </c>
      <c r="D1201" s="4">
        <f t="shared" si="661"/>
        <v>9.303550372874005E-3</v>
      </c>
      <c r="E1201" s="4">
        <f t="shared" si="661"/>
        <v>9.303550372874005E-3</v>
      </c>
      <c r="F1201" s="4">
        <f t="shared" si="661"/>
        <v>9.303550372874005E-3</v>
      </c>
      <c r="G1201" s="4">
        <f t="shared" si="661"/>
        <v>9.303550372874005E-3</v>
      </c>
      <c r="H1201" s="4">
        <f t="shared" si="661"/>
        <v>9.303550372874005E-3</v>
      </c>
      <c r="I1201" s="4">
        <f t="shared" si="661"/>
        <v>9.303550372874005E-3</v>
      </c>
      <c r="J1201" s="4">
        <f t="shared" si="661"/>
        <v>9.303550372874005E-3</v>
      </c>
      <c r="K1201" s="4">
        <f t="shared" si="661"/>
        <v>9.303550372874005E-3</v>
      </c>
      <c r="L1201" s="4">
        <f t="shared" si="661"/>
        <v>9.303550372874005E-3</v>
      </c>
      <c r="M1201" s="4">
        <f t="shared" si="661"/>
        <v>9.303550372874005E-3</v>
      </c>
      <c r="N1201" t="s">
        <v>256</v>
      </c>
      <c r="O1201" t="s">
        <v>356</v>
      </c>
      <c r="P1201" t="s">
        <v>351</v>
      </c>
      <c r="Q1201" s="4" t="s">
        <v>245</v>
      </c>
    </row>
    <row r="1202" spans="1:17" x14ac:dyDescent="0.25">
      <c r="A1202" t="s">
        <v>565</v>
      </c>
      <c r="B1202" t="s">
        <v>94</v>
      </c>
      <c r="C1202" s="4">
        <f t="shared" ref="C1202:M1202" si="662">(0.0822572721273277/(0.0328453630665826+0.350336698877979+0.0822572721273277+0.0181224344560457+0.178561789731549)) * 1.75833702180291%</f>
        <v>2.1844262311735254E-3</v>
      </c>
      <c r="D1202" s="4">
        <f t="shared" si="662"/>
        <v>2.1844262311735254E-3</v>
      </c>
      <c r="E1202" s="4">
        <f t="shared" si="662"/>
        <v>2.1844262311735254E-3</v>
      </c>
      <c r="F1202" s="4">
        <f t="shared" si="662"/>
        <v>2.1844262311735254E-3</v>
      </c>
      <c r="G1202" s="4">
        <f t="shared" si="662"/>
        <v>2.1844262311735254E-3</v>
      </c>
      <c r="H1202" s="4">
        <f t="shared" si="662"/>
        <v>2.1844262311735254E-3</v>
      </c>
      <c r="I1202" s="4">
        <f t="shared" si="662"/>
        <v>2.1844262311735254E-3</v>
      </c>
      <c r="J1202" s="4">
        <f t="shared" si="662"/>
        <v>2.1844262311735254E-3</v>
      </c>
      <c r="K1202" s="4">
        <f t="shared" si="662"/>
        <v>2.1844262311735254E-3</v>
      </c>
      <c r="L1202" s="4">
        <f t="shared" si="662"/>
        <v>2.1844262311735254E-3</v>
      </c>
      <c r="M1202" s="4">
        <f t="shared" si="662"/>
        <v>2.1844262311735254E-3</v>
      </c>
      <c r="N1202" t="s">
        <v>256</v>
      </c>
      <c r="O1202" t="s">
        <v>353</v>
      </c>
      <c r="P1202" t="s">
        <v>351</v>
      </c>
      <c r="Q1202" s="4" t="s">
        <v>245</v>
      </c>
    </row>
    <row r="1203" spans="1:17" x14ac:dyDescent="0.25">
      <c r="A1203" t="s">
        <v>565</v>
      </c>
      <c r="B1203" t="s">
        <v>94</v>
      </c>
      <c r="C1203" s="4">
        <f t="shared" ref="C1203:M1203" si="663">(0.0181224344560457/(0.0328453630665826+0.350336698877979+0.0822572721273277+0.0181224344560457+0.178561789731549)) * 1.75833702180291%</f>
        <v>4.8125983484148912E-4</v>
      </c>
      <c r="D1203" s="4">
        <f t="shared" si="663"/>
        <v>4.8125983484148912E-4</v>
      </c>
      <c r="E1203" s="4">
        <f t="shared" si="663"/>
        <v>4.8125983484148912E-4</v>
      </c>
      <c r="F1203" s="4">
        <f t="shared" si="663"/>
        <v>4.8125983484148912E-4</v>
      </c>
      <c r="G1203" s="4">
        <f t="shared" si="663"/>
        <v>4.8125983484148912E-4</v>
      </c>
      <c r="H1203" s="4">
        <f t="shared" si="663"/>
        <v>4.8125983484148912E-4</v>
      </c>
      <c r="I1203" s="4">
        <f t="shared" si="663"/>
        <v>4.8125983484148912E-4</v>
      </c>
      <c r="J1203" s="4">
        <f t="shared" si="663"/>
        <v>4.8125983484148912E-4</v>
      </c>
      <c r="K1203" s="4">
        <f t="shared" si="663"/>
        <v>4.8125983484148912E-4</v>
      </c>
      <c r="L1203" s="4">
        <f t="shared" si="663"/>
        <v>4.8125983484148912E-4</v>
      </c>
      <c r="M1203" s="4">
        <f t="shared" si="663"/>
        <v>4.8125983484148912E-4</v>
      </c>
      <c r="N1203" t="s">
        <v>256</v>
      </c>
      <c r="O1203" t="s">
        <v>280</v>
      </c>
      <c r="P1203" t="s">
        <v>351</v>
      </c>
      <c r="Q1203" s="4" t="s">
        <v>245</v>
      </c>
    </row>
    <row r="1204" spans="1:17" x14ac:dyDescent="0.25">
      <c r="A1204" t="s">
        <v>565</v>
      </c>
      <c r="B1204" t="s">
        <v>94</v>
      </c>
      <c r="C1204" s="4">
        <f t="shared" ref="C1204:M1204" si="664">(0.178561789731549/(0.0328453630665826+0.350336698877979+0.0822572721273277+0.0181224344560457+0.178561789731549)) * 1.75833702180291%</f>
        <v>4.7418914739977402E-3</v>
      </c>
      <c r="D1204" s="4">
        <f t="shared" si="664"/>
        <v>4.7418914739977402E-3</v>
      </c>
      <c r="E1204" s="4">
        <f t="shared" si="664"/>
        <v>4.7418914739977402E-3</v>
      </c>
      <c r="F1204" s="4">
        <f t="shared" si="664"/>
        <v>4.7418914739977402E-3</v>
      </c>
      <c r="G1204" s="4">
        <f t="shared" si="664"/>
        <v>4.7418914739977402E-3</v>
      </c>
      <c r="H1204" s="4">
        <f t="shared" si="664"/>
        <v>4.7418914739977402E-3</v>
      </c>
      <c r="I1204" s="4">
        <f t="shared" si="664"/>
        <v>4.7418914739977402E-3</v>
      </c>
      <c r="J1204" s="4">
        <f t="shared" si="664"/>
        <v>4.7418914739977402E-3</v>
      </c>
      <c r="K1204" s="4">
        <f t="shared" si="664"/>
        <v>4.7418914739977402E-3</v>
      </c>
      <c r="L1204" s="4">
        <f t="shared" si="664"/>
        <v>4.7418914739977402E-3</v>
      </c>
      <c r="M1204" s="4">
        <f t="shared" si="664"/>
        <v>4.7418914739977402E-3</v>
      </c>
      <c r="N1204" t="s">
        <v>256</v>
      </c>
      <c r="O1204" t="s">
        <v>354</v>
      </c>
      <c r="P1204" t="s">
        <v>351</v>
      </c>
      <c r="Q1204" s="4" t="s">
        <v>245</v>
      </c>
    </row>
    <row r="1205" spans="1:17" x14ac:dyDescent="0.25">
      <c r="A1205" t="s">
        <v>565</v>
      </c>
      <c r="B1205" t="s">
        <v>95</v>
      </c>
      <c r="C1205" s="4">
        <f t="shared" ref="C1205:M1205" si="665">(0.0328453630665826/(0.0328453630665826+0.350336698877979+0.0822572721273277+0.0181224344560457+0.178561789731549)) * 0.561469604487704%</f>
        <v>2.7852313635730726E-4</v>
      </c>
      <c r="D1205" s="4">
        <f t="shared" si="665"/>
        <v>2.7852313635730726E-4</v>
      </c>
      <c r="E1205" s="4">
        <f t="shared" si="665"/>
        <v>2.7852313635730726E-4</v>
      </c>
      <c r="F1205" s="4">
        <f t="shared" si="665"/>
        <v>2.7852313635730726E-4</v>
      </c>
      <c r="G1205" s="4">
        <f t="shared" si="665"/>
        <v>2.7852313635730726E-4</v>
      </c>
      <c r="H1205" s="4">
        <f t="shared" si="665"/>
        <v>2.7852313635730726E-4</v>
      </c>
      <c r="I1205" s="4">
        <f t="shared" si="665"/>
        <v>2.7852313635730726E-4</v>
      </c>
      <c r="J1205" s="4">
        <f t="shared" si="665"/>
        <v>2.7852313635730726E-4</v>
      </c>
      <c r="K1205" s="4">
        <f t="shared" si="665"/>
        <v>2.7852313635730726E-4</v>
      </c>
      <c r="L1205" s="4">
        <f t="shared" si="665"/>
        <v>2.7852313635730726E-4</v>
      </c>
      <c r="M1205" s="4">
        <f t="shared" si="665"/>
        <v>2.7852313635730726E-4</v>
      </c>
      <c r="N1205" t="s">
        <v>242</v>
      </c>
      <c r="O1205" t="s">
        <v>358</v>
      </c>
      <c r="P1205" t="s">
        <v>351</v>
      </c>
      <c r="Q1205" s="4" t="s">
        <v>245</v>
      </c>
    </row>
    <row r="1206" spans="1:17" x14ac:dyDescent="0.25">
      <c r="A1206" t="s">
        <v>565</v>
      </c>
      <c r="B1206" t="s">
        <v>95</v>
      </c>
      <c r="C1206" s="4">
        <f t="shared" ref="C1206:M1206" si="666">(0.350336698877979/(0.0328453630665826+0.350336698877979+0.0822572721273277+0.0181224344560457+0.178561789731549)) * 0.561469604487704%</f>
        <v>2.9707960893827516E-3</v>
      </c>
      <c r="D1206" s="4">
        <f t="shared" si="666"/>
        <v>2.9707960893827516E-3</v>
      </c>
      <c r="E1206" s="4">
        <f t="shared" si="666"/>
        <v>2.9707960893827516E-3</v>
      </c>
      <c r="F1206" s="4">
        <f t="shared" si="666"/>
        <v>2.9707960893827516E-3</v>
      </c>
      <c r="G1206" s="4">
        <f t="shared" si="666"/>
        <v>2.9707960893827516E-3</v>
      </c>
      <c r="H1206" s="4">
        <f t="shared" si="666"/>
        <v>2.9707960893827516E-3</v>
      </c>
      <c r="I1206" s="4">
        <f t="shared" si="666"/>
        <v>2.9707960893827516E-3</v>
      </c>
      <c r="J1206" s="4">
        <f t="shared" si="666"/>
        <v>2.9707960893827516E-3</v>
      </c>
      <c r="K1206" s="4">
        <f t="shared" si="666"/>
        <v>2.9707960893827516E-3</v>
      </c>
      <c r="L1206" s="4">
        <f t="shared" si="666"/>
        <v>2.9707960893827516E-3</v>
      </c>
      <c r="M1206" s="4">
        <f t="shared" si="666"/>
        <v>2.9707960893827516E-3</v>
      </c>
      <c r="N1206" t="s">
        <v>256</v>
      </c>
      <c r="O1206" t="s">
        <v>356</v>
      </c>
      <c r="P1206" t="s">
        <v>351</v>
      </c>
      <c r="Q1206" s="4" t="s">
        <v>245</v>
      </c>
    </row>
    <row r="1207" spans="1:17" x14ac:dyDescent="0.25">
      <c r="A1207" t="s">
        <v>565</v>
      </c>
      <c r="B1207" t="s">
        <v>95</v>
      </c>
      <c r="C1207" s="4">
        <f t="shared" ref="C1207:M1207" si="667">(0.0822572721273277/(0.0328453630665826+0.350336698877979+0.0822572721273277+0.0181224344560457+0.178561789731549)) * 0.561469604487704%</f>
        <v>6.9752778724523784E-4</v>
      </c>
      <c r="D1207" s="4">
        <f t="shared" si="667"/>
        <v>6.9752778724523784E-4</v>
      </c>
      <c r="E1207" s="4">
        <f t="shared" si="667"/>
        <v>6.9752778724523784E-4</v>
      </c>
      <c r="F1207" s="4">
        <f t="shared" si="667"/>
        <v>6.9752778724523784E-4</v>
      </c>
      <c r="G1207" s="4">
        <f t="shared" si="667"/>
        <v>6.9752778724523784E-4</v>
      </c>
      <c r="H1207" s="4">
        <f t="shared" si="667"/>
        <v>6.9752778724523784E-4</v>
      </c>
      <c r="I1207" s="4">
        <f t="shared" si="667"/>
        <v>6.9752778724523784E-4</v>
      </c>
      <c r="J1207" s="4">
        <f t="shared" si="667"/>
        <v>6.9752778724523784E-4</v>
      </c>
      <c r="K1207" s="4">
        <f t="shared" si="667"/>
        <v>6.9752778724523784E-4</v>
      </c>
      <c r="L1207" s="4">
        <f t="shared" si="667"/>
        <v>6.9752778724523784E-4</v>
      </c>
      <c r="M1207" s="4">
        <f t="shared" si="667"/>
        <v>6.9752778724523784E-4</v>
      </c>
      <c r="N1207" t="s">
        <v>256</v>
      </c>
      <c r="O1207" t="s">
        <v>353</v>
      </c>
      <c r="P1207" t="s">
        <v>351</v>
      </c>
      <c r="Q1207" s="4" t="s">
        <v>245</v>
      </c>
    </row>
    <row r="1208" spans="1:17" x14ac:dyDescent="0.25">
      <c r="A1208" t="s">
        <v>565</v>
      </c>
      <c r="B1208" t="s">
        <v>95</v>
      </c>
      <c r="C1208" s="4">
        <f t="shared" ref="C1208:M1208" si="668">(0.0181224344560457/(0.0328453630665826+0.350336698877979+0.0822572721273277+0.0181224344560457+0.178561789731549)) * 0.561469604487704%</f>
        <v>1.5367518614105397E-4</v>
      </c>
      <c r="D1208" s="4">
        <f t="shared" si="668"/>
        <v>1.5367518614105397E-4</v>
      </c>
      <c r="E1208" s="4">
        <f t="shared" si="668"/>
        <v>1.5367518614105397E-4</v>
      </c>
      <c r="F1208" s="4">
        <f t="shared" si="668"/>
        <v>1.5367518614105397E-4</v>
      </c>
      <c r="G1208" s="4">
        <f t="shared" si="668"/>
        <v>1.5367518614105397E-4</v>
      </c>
      <c r="H1208" s="4">
        <f t="shared" si="668"/>
        <v>1.5367518614105397E-4</v>
      </c>
      <c r="I1208" s="4">
        <f t="shared" si="668"/>
        <v>1.5367518614105397E-4</v>
      </c>
      <c r="J1208" s="4">
        <f t="shared" si="668"/>
        <v>1.5367518614105397E-4</v>
      </c>
      <c r="K1208" s="4">
        <f t="shared" si="668"/>
        <v>1.5367518614105397E-4</v>
      </c>
      <c r="L1208" s="4">
        <f t="shared" si="668"/>
        <v>1.5367518614105397E-4</v>
      </c>
      <c r="M1208" s="4">
        <f t="shared" si="668"/>
        <v>1.5367518614105397E-4</v>
      </c>
      <c r="N1208" t="s">
        <v>256</v>
      </c>
      <c r="O1208" t="s">
        <v>280</v>
      </c>
      <c r="P1208" t="s">
        <v>351</v>
      </c>
      <c r="Q1208" s="4" t="s">
        <v>245</v>
      </c>
    </row>
    <row r="1209" spans="1:17" x14ac:dyDescent="0.25">
      <c r="A1209" t="s">
        <v>565</v>
      </c>
      <c r="B1209" t="s">
        <v>95</v>
      </c>
      <c r="C1209" s="4">
        <f t="shared" ref="C1209:M1209" si="669">(0.178561789731549/(0.0328453630665826+0.350336698877979+0.0822572721273277+0.0181224344560457+0.178561789731549)) * 0.561469604487704%</f>
        <v>1.5141738457506899E-3</v>
      </c>
      <c r="D1209" s="4">
        <f t="shared" si="669"/>
        <v>1.5141738457506899E-3</v>
      </c>
      <c r="E1209" s="4">
        <f t="shared" si="669"/>
        <v>1.5141738457506899E-3</v>
      </c>
      <c r="F1209" s="4">
        <f t="shared" si="669"/>
        <v>1.5141738457506899E-3</v>
      </c>
      <c r="G1209" s="4">
        <f t="shared" si="669"/>
        <v>1.5141738457506899E-3</v>
      </c>
      <c r="H1209" s="4">
        <f t="shared" si="669"/>
        <v>1.5141738457506899E-3</v>
      </c>
      <c r="I1209" s="4">
        <f t="shared" si="669"/>
        <v>1.5141738457506899E-3</v>
      </c>
      <c r="J1209" s="4">
        <f t="shared" si="669"/>
        <v>1.5141738457506899E-3</v>
      </c>
      <c r="K1209" s="4">
        <f t="shared" si="669"/>
        <v>1.5141738457506899E-3</v>
      </c>
      <c r="L1209" s="4">
        <f t="shared" si="669"/>
        <v>1.5141738457506899E-3</v>
      </c>
      <c r="M1209" s="4">
        <f t="shared" si="669"/>
        <v>1.5141738457506899E-3</v>
      </c>
      <c r="N1209" t="s">
        <v>256</v>
      </c>
      <c r="O1209" t="s">
        <v>354</v>
      </c>
      <c r="P1209" t="s">
        <v>351</v>
      </c>
      <c r="Q1209" s="4" t="s">
        <v>245</v>
      </c>
    </row>
    <row r="1210" spans="1:17" x14ac:dyDescent="0.25">
      <c r="A1210" t="s">
        <v>565</v>
      </c>
      <c r="B1210" t="s">
        <v>197</v>
      </c>
      <c r="C1210" s="4">
        <f t="shared" ref="C1210:M1210" si="670">(0.0328453630665826/(0.0328453630665826+0.350336698877979+0.0822572721273277+0.0181224344560457+0.178561789731549)) * 0.0655450944882474%</f>
        <v>3.2514360784248858E-5</v>
      </c>
      <c r="D1210" s="4">
        <f t="shared" si="670"/>
        <v>3.2514360784248858E-5</v>
      </c>
      <c r="E1210" s="4">
        <f t="shared" si="670"/>
        <v>3.2514360784248858E-5</v>
      </c>
      <c r="F1210" s="4">
        <f t="shared" si="670"/>
        <v>3.2514360784248858E-5</v>
      </c>
      <c r="G1210" s="4">
        <f t="shared" si="670"/>
        <v>3.2514360784248858E-5</v>
      </c>
      <c r="H1210" s="4">
        <f t="shared" si="670"/>
        <v>3.2514360784248858E-5</v>
      </c>
      <c r="I1210" s="4">
        <f t="shared" si="670"/>
        <v>3.2514360784248858E-5</v>
      </c>
      <c r="J1210" s="4">
        <f t="shared" si="670"/>
        <v>3.2514360784248858E-5</v>
      </c>
      <c r="K1210" s="4">
        <f t="shared" si="670"/>
        <v>3.2514360784248858E-5</v>
      </c>
      <c r="L1210" s="4">
        <f t="shared" si="670"/>
        <v>3.2514360784248858E-5</v>
      </c>
      <c r="M1210" s="4">
        <f t="shared" si="670"/>
        <v>3.2514360784248858E-5</v>
      </c>
      <c r="N1210" t="s">
        <v>242</v>
      </c>
      <c r="O1210" t="s">
        <v>358</v>
      </c>
      <c r="P1210" t="s">
        <v>351</v>
      </c>
      <c r="Q1210" s="4" t="s">
        <v>245</v>
      </c>
    </row>
    <row r="1211" spans="1:17" x14ac:dyDescent="0.25">
      <c r="A1211" t="s">
        <v>565</v>
      </c>
      <c r="B1211" t="s">
        <v>197</v>
      </c>
      <c r="C1211" s="4">
        <f t="shared" ref="C1211:M1211" si="671">(0.350336698877979/(0.0328453630665826+0.350336698877979+0.0822572721273277+0.0181224344560457+0.178561789731549)) * 0.0655450944882474%</f>
        <v>3.4680614734536829E-4</v>
      </c>
      <c r="D1211" s="4">
        <f t="shared" si="671"/>
        <v>3.4680614734536829E-4</v>
      </c>
      <c r="E1211" s="4">
        <f t="shared" si="671"/>
        <v>3.4680614734536829E-4</v>
      </c>
      <c r="F1211" s="4">
        <f t="shared" si="671"/>
        <v>3.4680614734536829E-4</v>
      </c>
      <c r="G1211" s="4">
        <f t="shared" si="671"/>
        <v>3.4680614734536829E-4</v>
      </c>
      <c r="H1211" s="4">
        <f t="shared" si="671"/>
        <v>3.4680614734536829E-4</v>
      </c>
      <c r="I1211" s="4">
        <f t="shared" si="671"/>
        <v>3.4680614734536829E-4</v>
      </c>
      <c r="J1211" s="4">
        <f t="shared" si="671"/>
        <v>3.4680614734536829E-4</v>
      </c>
      <c r="K1211" s="4">
        <f t="shared" si="671"/>
        <v>3.4680614734536829E-4</v>
      </c>
      <c r="L1211" s="4">
        <f t="shared" si="671"/>
        <v>3.4680614734536829E-4</v>
      </c>
      <c r="M1211" s="4">
        <f t="shared" si="671"/>
        <v>3.4680614734536829E-4</v>
      </c>
      <c r="N1211" t="s">
        <v>256</v>
      </c>
      <c r="O1211" t="s">
        <v>356</v>
      </c>
      <c r="P1211" t="s">
        <v>351</v>
      </c>
      <c r="Q1211" s="4" t="s">
        <v>245</v>
      </c>
    </row>
    <row r="1212" spans="1:17" x14ac:dyDescent="0.25">
      <c r="A1212" t="s">
        <v>565</v>
      </c>
      <c r="B1212" t="s">
        <v>197</v>
      </c>
      <c r="C1212" s="4">
        <f t="shared" ref="C1212:M1212" si="672">(0.0822572721273277/(0.0328453630665826+0.350336698877979+0.0822572721273277+0.0181224344560457+0.178561789731549)) * 0.0655450944882474%</f>
        <v>8.1428316613652932E-5</v>
      </c>
      <c r="D1212" s="4">
        <f t="shared" si="672"/>
        <v>8.1428316613652932E-5</v>
      </c>
      <c r="E1212" s="4">
        <f t="shared" si="672"/>
        <v>8.1428316613652932E-5</v>
      </c>
      <c r="F1212" s="4">
        <f t="shared" si="672"/>
        <v>8.1428316613652932E-5</v>
      </c>
      <c r="G1212" s="4">
        <f t="shared" si="672"/>
        <v>8.1428316613652932E-5</v>
      </c>
      <c r="H1212" s="4">
        <f t="shared" si="672"/>
        <v>8.1428316613652932E-5</v>
      </c>
      <c r="I1212" s="4">
        <f t="shared" si="672"/>
        <v>8.1428316613652932E-5</v>
      </c>
      <c r="J1212" s="4">
        <f t="shared" si="672"/>
        <v>8.1428316613652932E-5</v>
      </c>
      <c r="K1212" s="4">
        <f t="shared" si="672"/>
        <v>8.1428316613652932E-5</v>
      </c>
      <c r="L1212" s="4">
        <f t="shared" si="672"/>
        <v>8.1428316613652932E-5</v>
      </c>
      <c r="M1212" s="4">
        <f t="shared" si="672"/>
        <v>8.1428316613652932E-5</v>
      </c>
      <c r="N1212" t="s">
        <v>256</v>
      </c>
      <c r="O1212" t="s">
        <v>353</v>
      </c>
      <c r="P1212" t="s">
        <v>351</v>
      </c>
      <c r="Q1212" s="4" t="s">
        <v>245</v>
      </c>
    </row>
    <row r="1213" spans="1:17" x14ac:dyDescent="0.25">
      <c r="A1213" t="s">
        <v>565</v>
      </c>
      <c r="B1213" t="s">
        <v>197</v>
      </c>
      <c r="C1213" s="4">
        <f t="shared" ref="C1213:M1213" si="673">(0.0181224344560457/(0.0328453630665826+0.350336698877979+0.0822572721273277+0.0181224344560457+0.178561789731549)) * 0.0655450944882474%</f>
        <v>1.7939803892509691E-5</v>
      </c>
      <c r="D1213" s="4">
        <f t="shared" si="673"/>
        <v>1.7939803892509691E-5</v>
      </c>
      <c r="E1213" s="4">
        <f t="shared" si="673"/>
        <v>1.7939803892509691E-5</v>
      </c>
      <c r="F1213" s="4">
        <f t="shared" si="673"/>
        <v>1.7939803892509691E-5</v>
      </c>
      <c r="G1213" s="4">
        <f t="shared" si="673"/>
        <v>1.7939803892509691E-5</v>
      </c>
      <c r="H1213" s="4">
        <f t="shared" si="673"/>
        <v>1.7939803892509691E-5</v>
      </c>
      <c r="I1213" s="4">
        <f t="shared" si="673"/>
        <v>1.7939803892509691E-5</v>
      </c>
      <c r="J1213" s="4">
        <f t="shared" si="673"/>
        <v>1.7939803892509691E-5</v>
      </c>
      <c r="K1213" s="4">
        <f t="shared" si="673"/>
        <v>1.7939803892509691E-5</v>
      </c>
      <c r="L1213" s="4">
        <f t="shared" si="673"/>
        <v>1.7939803892509691E-5</v>
      </c>
      <c r="M1213" s="4">
        <f t="shared" si="673"/>
        <v>1.7939803892509691E-5</v>
      </c>
      <c r="N1213" t="s">
        <v>256</v>
      </c>
      <c r="O1213" t="s">
        <v>280</v>
      </c>
      <c r="P1213" t="s">
        <v>351</v>
      </c>
      <c r="Q1213" s="4" t="s">
        <v>245</v>
      </c>
    </row>
    <row r="1214" spans="1:17" x14ac:dyDescent="0.25">
      <c r="A1214" t="s">
        <v>565</v>
      </c>
      <c r="B1214" t="s">
        <v>197</v>
      </c>
      <c r="C1214" s="4">
        <f t="shared" ref="C1214:M1214" si="674">(0.178561789731549/(0.0328453630665826+0.350336698877979+0.0822572721273277+0.0181224344560457+0.178561789731549)) * 0.0655450944882474%</f>
        <v>1.7676231624669432E-4</v>
      </c>
      <c r="D1214" s="4">
        <f t="shared" si="674"/>
        <v>1.7676231624669432E-4</v>
      </c>
      <c r="E1214" s="4">
        <f t="shared" si="674"/>
        <v>1.7676231624669432E-4</v>
      </c>
      <c r="F1214" s="4">
        <f t="shared" si="674"/>
        <v>1.7676231624669432E-4</v>
      </c>
      <c r="G1214" s="4">
        <f t="shared" si="674"/>
        <v>1.7676231624669432E-4</v>
      </c>
      <c r="H1214" s="4">
        <f t="shared" si="674"/>
        <v>1.7676231624669432E-4</v>
      </c>
      <c r="I1214" s="4">
        <f t="shared" si="674"/>
        <v>1.7676231624669432E-4</v>
      </c>
      <c r="J1214" s="4">
        <f t="shared" si="674"/>
        <v>1.7676231624669432E-4</v>
      </c>
      <c r="K1214" s="4">
        <f t="shared" si="674"/>
        <v>1.7676231624669432E-4</v>
      </c>
      <c r="L1214" s="4">
        <f t="shared" si="674"/>
        <v>1.7676231624669432E-4</v>
      </c>
      <c r="M1214" s="4">
        <f t="shared" si="674"/>
        <v>1.7676231624669432E-4</v>
      </c>
      <c r="N1214" t="s">
        <v>256</v>
      </c>
      <c r="O1214" t="s">
        <v>354</v>
      </c>
      <c r="P1214" t="s">
        <v>351</v>
      </c>
      <c r="Q1214" s="4" t="s">
        <v>245</v>
      </c>
    </row>
    <row r="1215" spans="1:17" x14ac:dyDescent="0.25">
      <c r="A1215" t="s">
        <v>565</v>
      </c>
      <c r="B1215" t="s">
        <v>97</v>
      </c>
      <c r="C1215" s="4">
        <f t="shared" ref="C1215:M1215" si="675">(0.0328453630665826/(0.0328453630665826+0.350336698877979+0.0822572721273277+0.0181224344560457+0.178561789731549)) * 0.04358012999375%</f>
        <v>2.1618399984080042E-5</v>
      </c>
      <c r="D1215" s="4">
        <f t="shared" si="675"/>
        <v>2.1618399984080042E-5</v>
      </c>
      <c r="E1215" s="4">
        <f t="shared" si="675"/>
        <v>2.1618399984080042E-5</v>
      </c>
      <c r="F1215" s="4">
        <f t="shared" si="675"/>
        <v>2.1618399984080042E-5</v>
      </c>
      <c r="G1215" s="4">
        <f t="shared" si="675"/>
        <v>2.1618399984080042E-5</v>
      </c>
      <c r="H1215" s="4">
        <f t="shared" si="675"/>
        <v>2.1618399984080042E-5</v>
      </c>
      <c r="I1215" s="4">
        <f t="shared" si="675"/>
        <v>2.1618399984080042E-5</v>
      </c>
      <c r="J1215" s="4">
        <f t="shared" si="675"/>
        <v>2.1618399984080042E-5</v>
      </c>
      <c r="K1215" s="4">
        <f t="shared" si="675"/>
        <v>2.1618399984080042E-5</v>
      </c>
      <c r="L1215" s="4">
        <f t="shared" si="675"/>
        <v>2.1618399984080042E-5</v>
      </c>
      <c r="M1215" s="4">
        <f t="shared" si="675"/>
        <v>2.1618399984080042E-5</v>
      </c>
      <c r="N1215" t="s">
        <v>242</v>
      </c>
      <c r="O1215" t="s">
        <v>358</v>
      </c>
      <c r="P1215" t="s">
        <v>351</v>
      </c>
      <c r="Q1215" s="4" t="s">
        <v>245</v>
      </c>
    </row>
    <row r="1216" spans="1:17" x14ac:dyDescent="0.25">
      <c r="A1216" t="s">
        <v>565</v>
      </c>
      <c r="B1216" t="s">
        <v>97</v>
      </c>
      <c r="C1216" s="4">
        <f t="shared" ref="C1216:M1216" si="676">(0.350336698877979/(0.0328453630665826+0.350336698877979+0.0822572721273277+0.0181224344560457+0.178561789731549)) * 0.04358012999375%</f>
        <v>2.3058715685660906E-4</v>
      </c>
      <c r="D1216" s="4">
        <f t="shared" si="676"/>
        <v>2.3058715685660906E-4</v>
      </c>
      <c r="E1216" s="4">
        <f t="shared" si="676"/>
        <v>2.3058715685660906E-4</v>
      </c>
      <c r="F1216" s="4">
        <f t="shared" si="676"/>
        <v>2.3058715685660906E-4</v>
      </c>
      <c r="G1216" s="4">
        <f t="shared" si="676"/>
        <v>2.3058715685660906E-4</v>
      </c>
      <c r="H1216" s="4">
        <f t="shared" si="676"/>
        <v>2.3058715685660906E-4</v>
      </c>
      <c r="I1216" s="4">
        <f t="shared" si="676"/>
        <v>2.3058715685660906E-4</v>
      </c>
      <c r="J1216" s="4">
        <f t="shared" si="676"/>
        <v>2.3058715685660906E-4</v>
      </c>
      <c r="K1216" s="4">
        <f t="shared" si="676"/>
        <v>2.3058715685660906E-4</v>
      </c>
      <c r="L1216" s="4">
        <f t="shared" si="676"/>
        <v>2.3058715685660906E-4</v>
      </c>
      <c r="M1216" s="4">
        <f t="shared" si="676"/>
        <v>2.3058715685660906E-4</v>
      </c>
      <c r="N1216" t="s">
        <v>256</v>
      </c>
      <c r="O1216" t="s">
        <v>356</v>
      </c>
      <c r="P1216" t="s">
        <v>351</v>
      </c>
      <c r="Q1216" s="4" t="s">
        <v>245</v>
      </c>
    </row>
    <row r="1217" spans="1:17" x14ac:dyDescent="0.25">
      <c r="A1217" t="s">
        <v>565</v>
      </c>
      <c r="B1217" t="s">
        <v>97</v>
      </c>
      <c r="C1217" s="4">
        <f t="shared" ref="C1217:M1217" si="677">(0.0822572721273277/(0.0328453630665826+0.350336698877979+0.0822572721273277+0.0181224344560457+0.178561789731549)) * 0.04358012999375%</f>
        <v>5.4140689717542797E-5</v>
      </c>
      <c r="D1217" s="4">
        <f t="shared" si="677"/>
        <v>5.4140689717542797E-5</v>
      </c>
      <c r="E1217" s="4">
        <f t="shared" si="677"/>
        <v>5.4140689717542797E-5</v>
      </c>
      <c r="F1217" s="4">
        <f t="shared" si="677"/>
        <v>5.4140689717542797E-5</v>
      </c>
      <c r="G1217" s="4">
        <f t="shared" si="677"/>
        <v>5.4140689717542797E-5</v>
      </c>
      <c r="H1217" s="4">
        <f t="shared" si="677"/>
        <v>5.4140689717542797E-5</v>
      </c>
      <c r="I1217" s="4">
        <f t="shared" si="677"/>
        <v>5.4140689717542797E-5</v>
      </c>
      <c r="J1217" s="4">
        <f t="shared" si="677"/>
        <v>5.4140689717542797E-5</v>
      </c>
      <c r="K1217" s="4">
        <f t="shared" si="677"/>
        <v>5.4140689717542797E-5</v>
      </c>
      <c r="L1217" s="4">
        <f t="shared" si="677"/>
        <v>5.4140689717542797E-5</v>
      </c>
      <c r="M1217" s="4">
        <f t="shared" si="677"/>
        <v>5.4140689717542797E-5</v>
      </c>
      <c r="N1217" t="s">
        <v>256</v>
      </c>
      <c r="O1217" t="s">
        <v>353</v>
      </c>
      <c r="P1217" t="s">
        <v>351</v>
      </c>
      <c r="Q1217" s="4" t="s">
        <v>245</v>
      </c>
    </row>
    <row r="1218" spans="1:17" x14ac:dyDescent="0.25">
      <c r="A1218" t="s">
        <v>565</v>
      </c>
      <c r="B1218" t="s">
        <v>97</v>
      </c>
      <c r="C1218" s="4">
        <f t="shared" ref="C1218:M1218" si="678">(0.0181224344560457/(0.0328453630665826+0.350336698877979+0.0822572721273277+0.0181224344560457+0.178561789731549)) * 0.04358012999375%</f>
        <v>1.1927955734935115E-5</v>
      </c>
      <c r="D1218" s="4">
        <f t="shared" si="678"/>
        <v>1.1927955734935115E-5</v>
      </c>
      <c r="E1218" s="4">
        <f t="shared" si="678"/>
        <v>1.1927955734935115E-5</v>
      </c>
      <c r="F1218" s="4">
        <f t="shared" si="678"/>
        <v>1.1927955734935115E-5</v>
      </c>
      <c r="G1218" s="4">
        <f t="shared" si="678"/>
        <v>1.1927955734935115E-5</v>
      </c>
      <c r="H1218" s="4">
        <f t="shared" si="678"/>
        <v>1.1927955734935115E-5</v>
      </c>
      <c r="I1218" s="4">
        <f t="shared" si="678"/>
        <v>1.1927955734935115E-5</v>
      </c>
      <c r="J1218" s="4">
        <f t="shared" si="678"/>
        <v>1.1927955734935115E-5</v>
      </c>
      <c r="K1218" s="4">
        <f t="shared" si="678"/>
        <v>1.1927955734935115E-5</v>
      </c>
      <c r="L1218" s="4">
        <f t="shared" si="678"/>
        <v>1.1927955734935115E-5</v>
      </c>
      <c r="M1218" s="4">
        <f t="shared" si="678"/>
        <v>1.1927955734935115E-5</v>
      </c>
      <c r="N1218" t="s">
        <v>256</v>
      </c>
      <c r="O1218" t="s">
        <v>280</v>
      </c>
      <c r="P1218" t="s">
        <v>351</v>
      </c>
      <c r="Q1218" s="4" t="s">
        <v>245</v>
      </c>
    </row>
    <row r="1219" spans="1:17" x14ac:dyDescent="0.25">
      <c r="A1219" t="s">
        <v>565</v>
      </c>
      <c r="B1219" t="s">
        <v>97</v>
      </c>
      <c r="C1219" s="4">
        <f t="shared" ref="C1219:M1219" si="679">(0.178561789731549/(0.0328453630665826+0.350336698877979+0.0822572721273277+0.0181224344560457+0.178561789731549)) * 0.04358012999375%</f>
        <v>1.1752709764433301E-4</v>
      </c>
      <c r="D1219" s="4">
        <f t="shared" si="679"/>
        <v>1.1752709764433301E-4</v>
      </c>
      <c r="E1219" s="4">
        <f t="shared" si="679"/>
        <v>1.1752709764433301E-4</v>
      </c>
      <c r="F1219" s="4">
        <f t="shared" si="679"/>
        <v>1.1752709764433301E-4</v>
      </c>
      <c r="G1219" s="4">
        <f t="shared" si="679"/>
        <v>1.1752709764433301E-4</v>
      </c>
      <c r="H1219" s="4">
        <f t="shared" si="679"/>
        <v>1.1752709764433301E-4</v>
      </c>
      <c r="I1219" s="4">
        <f t="shared" si="679"/>
        <v>1.1752709764433301E-4</v>
      </c>
      <c r="J1219" s="4">
        <f t="shared" si="679"/>
        <v>1.1752709764433301E-4</v>
      </c>
      <c r="K1219" s="4">
        <f t="shared" si="679"/>
        <v>1.1752709764433301E-4</v>
      </c>
      <c r="L1219" s="4">
        <f t="shared" si="679"/>
        <v>1.1752709764433301E-4</v>
      </c>
      <c r="M1219" s="4">
        <f t="shared" si="679"/>
        <v>1.1752709764433301E-4</v>
      </c>
      <c r="N1219" t="s">
        <v>256</v>
      </c>
      <c r="O1219" t="s">
        <v>354</v>
      </c>
      <c r="P1219" t="s">
        <v>351</v>
      </c>
      <c r="Q1219" s="4" t="s">
        <v>245</v>
      </c>
    </row>
    <row r="1220" spans="1:17" x14ac:dyDescent="0.25">
      <c r="A1220" t="s">
        <v>565</v>
      </c>
      <c r="B1220" t="s">
        <v>98</v>
      </c>
      <c r="C1220" s="4">
        <f t="shared" ref="C1220:M1220" si="680">(0.0328453630665826/(0.0328453630665826+0.350336698877979+0.0822572721273277+0.0181224344560457+0.178561789731549)) * 2.94361282413777%</f>
        <v>1.4602113265748426E-3</v>
      </c>
      <c r="D1220" s="4">
        <f t="shared" si="680"/>
        <v>1.4602113265748426E-3</v>
      </c>
      <c r="E1220" s="4">
        <f t="shared" si="680"/>
        <v>1.4602113265748426E-3</v>
      </c>
      <c r="F1220" s="4">
        <f t="shared" si="680"/>
        <v>1.4602113265748426E-3</v>
      </c>
      <c r="G1220" s="4">
        <f t="shared" si="680"/>
        <v>1.4602113265748426E-3</v>
      </c>
      <c r="H1220" s="4">
        <f t="shared" si="680"/>
        <v>1.4602113265748426E-3</v>
      </c>
      <c r="I1220" s="4">
        <f t="shared" si="680"/>
        <v>1.4602113265748426E-3</v>
      </c>
      <c r="J1220" s="4">
        <f t="shared" si="680"/>
        <v>1.4602113265748426E-3</v>
      </c>
      <c r="K1220" s="4">
        <f t="shared" si="680"/>
        <v>1.4602113265748426E-3</v>
      </c>
      <c r="L1220" s="4">
        <f t="shared" si="680"/>
        <v>1.4602113265748426E-3</v>
      </c>
      <c r="M1220" s="4">
        <f t="shared" si="680"/>
        <v>1.4602113265748426E-3</v>
      </c>
      <c r="N1220" t="s">
        <v>242</v>
      </c>
      <c r="O1220" t="s">
        <v>358</v>
      </c>
      <c r="P1220" t="s">
        <v>351</v>
      </c>
      <c r="Q1220" s="4" t="s">
        <v>245</v>
      </c>
    </row>
    <row r="1221" spans="1:17" x14ac:dyDescent="0.25">
      <c r="A1221" t="s">
        <v>565</v>
      </c>
      <c r="B1221" t="s">
        <v>98</v>
      </c>
      <c r="C1221" s="4">
        <f t="shared" ref="C1221:M1221" si="681">(0.350336698877979/(0.0328453630665826+0.350336698877979+0.0822572721273277+0.0181224344560457+0.178561789731549)) * 2.94361282413777%</f>
        <v>1.5574972174289646E-2</v>
      </c>
      <c r="D1221" s="4">
        <f t="shared" si="681"/>
        <v>1.5574972174289646E-2</v>
      </c>
      <c r="E1221" s="4">
        <f t="shared" si="681"/>
        <v>1.5574972174289646E-2</v>
      </c>
      <c r="F1221" s="4">
        <f t="shared" si="681"/>
        <v>1.5574972174289646E-2</v>
      </c>
      <c r="G1221" s="4">
        <f t="shared" si="681"/>
        <v>1.5574972174289646E-2</v>
      </c>
      <c r="H1221" s="4">
        <f t="shared" si="681"/>
        <v>1.5574972174289646E-2</v>
      </c>
      <c r="I1221" s="4">
        <f t="shared" si="681"/>
        <v>1.5574972174289646E-2</v>
      </c>
      <c r="J1221" s="4">
        <f t="shared" si="681"/>
        <v>1.5574972174289646E-2</v>
      </c>
      <c r="K1221" s="4">
        <f t="shared" si="681"/>
        <v>1.5574972174289646E-2</v>
      </c>
      <c r="L1221" s="4">
        <f t="shared" si="681"/>
        <v>1.5574972174289646E-2</v>
      </c>
      <c r="M1221" s="4">
        <f t="shared" si="681"/>
        <v>1.5574972174289646E-2</v>
      </c>
      <c r="N1221" t="s">
        <v>256</v>
      </c>
      <c r="O1221" t="s">
        <v>356</v>
      </c>
      <c r="P1221" t="s">
        <v>351</v>
      </c>
      <c r="Q1221" s="4" t="s">
        <v>245</v>
      </c>
    </row>
    <row r="1222" spans="1:17" x14ac:dyDescent="0.25">
      <c r="A1222" t="s">
        <v>565</v>
      </c>
      <c r="B1222" t="s">
        <v>98</v>
      </c>
      <c r="C1222" s="4">
        <f t="shared" ref="C1222:M1222" si="682">(0.0822572721273277/(0.0328453630665826+0.350336698877979+0.0822572721273277+0.0181224344560457+0.178561789731549)) * 2.94361282413777%</f>
        <v>3.6569241207650973E-3</v>
      </c>
      <c r="D1222" s="4">
        <f t="shared" si="682"/>
        <v>3.6569241207650973E-3</v>
      </c>
      <c r="E1222" s="4">
        <f t="shared" si="682"/>
        <v>3.6569241207650973E-3</v>
      </c>
      <c r="F1222" s="4">
        <f t="shared" si="682"/>
        <v>3.6569241207650973E-3</v>
      </c>
      <c r="G1222" s="4">
        <f t="shared" si="682"/>
        <v>3.6569241207650973E-3</v>
      </c>
      <c r="H1222" s="4">
        <f t="shared" si="682"/>
        <v>3.6569241207650973E-3</v>
      </c>
      <c r="I1222" s="4">
        <f t="shared" si="682"/>
        <v>3.6569241207650973E-3</v>
      </c>
      <c r="J1222" s="4">
        <f t="shared" si="682"/>
        <v>3.6569241207650973E-3</v>
      </c>
      <c r="K1222" s="4">
        <f t="shared" si="682"/>
        <v>3.6569241207650973E-3</v>
      </c>
      <c r="L1222" s="4">
        <f t="shared" si="682"/>
        <v>3.6569241207650973E-3</v>
      </c>
      <c r="M1222" s="4">
        <f t="shared" si="682"/>
        <v>3.6569241207650973E-3</v>
      </c>
      <c r="N1222" t="s">
        <v>256</v>
      </c>
      <c r="O1222" t="s">
        <v>353</v>
      </c>
      <c r="P1222" t="s">
        <v>351</v>
      </c>
      <c r="Q1222" s="4" t="s">
        <v>245</v>
      </c>
    </row>
    <row r="1223" spans="1:17" x14ac:dyDescent="0.25">
      <c r="A1223" t="s">
        <v>565</v>
      </c>
      <c r="B1223" t="s">
        <v>98</v>
      </c>
      <c r="C1223" s="4">
        <f t="shared" ref="C1223:M1223" si="683">(0.0181224344560457/(0.0328453630665826+0.350336698877979+0.0822572721273277+0.0181224344560457+0.178561789731549)) * 2.94361282413777%</f>
        <v>8.0567183879759225E-4</v>
      </c>
      <c r="D1223" s="4">
        <f t="shared" si="683"/>
        <v>8.0567183879759225E-4</v>
      </c>
      <c r="E1223" s="4">
        <f t="shared" si="683"/>
        <v>8.0567183879759225E-4</v>
      </c>
      <c r="F1223" s="4">
        <f t="shared" si="683"/>
        <v>8.0567183879759225E-4</v>
      </c>
      <c r="G1223" s="4">
        <f t="shared" si="683"/>
        <v>8.0567183879759225E-4</v>
      </c>
      <c r="H1223" s="4">
        <f t="shared" si="683"/>
        <v>8.0567183879759225E-4</v>
      </c>
      <c r="I1223" s="4">
        <f t="shared" si="683"/>
        <v>8.0567183879759225E-4</v>
      </c>
      <c r="J1223" s="4">
        <f t="shared" si="683"/>
        <v>8.0567183879759225E-4</v>
      </c>
      <c r="K1223" s="4">
        <f t="shared" si="683"/>
        <v>8.0567183879759225E-4</v>
      </c>
      <c r="L1223" s="4">
        <f t="shared" si="683"/>
        <v>8.0567183879759225E-4</v>
      </c>
      <c r="M1223" s="4">
        <f t="shared" si="683"/>
        <v>8.0567183879759225E-4</v>
      </c>
      <c r="N1223" t="s">
        <v>256</v>
      </c>
      <c r="O1223" t="s">
        <v>280</v>
      </c>
      <c r="P1223" t="s">
        <v>351</v>
      </c>
      <c r="Q1223" s="4" t="s">
        <v>245</v>
      </c>
    </row>
    <row r="1224" spans="1:17" x14ac:dyDescent="0.25">
      <c r="A1224" t="s">
        <v>565</v>
      </c>
      <c r="B1224" t="s">
        <v>98</v>
      </c>
      <c r="C1224" s="4">
        <f t="shared" ref="C1224:M1224" si="684">(0.178561789731549/(0.0328453630665826+0.350336698877979+0.0822572721273277+0.0181224344560457+0.178561789731549)) * 2.94361282413777%</f>
        <v>7.9383487809505208E-3</v>
      </c>
      <c r="D1224" s="4">
        <f t="shared" si="684"/>
        <v>7.9383487809505208E-3</v>
      </c>
      <c r="E1224" s="4">
        <f t="shared" si="684"/>
        <v>7.9383487809505208E-3</v>
      </c>
      <c r="F1224" s="4">
        <f t="shared" si="684"/>
        <v>7.9383487809505208E-3</v>
      </c>
      <c r="G1224" s="4">
        <f t="shared" si="684"/>
        <v>7.9383487809505208E-3</v>
      </c>
      <c r="H1224" s="4">
        <f t="shared" si="684"/>
        <v>7.9383487809505208E-3</v>
      </c>
      <c r="I1224" s="4">
        <f t="shared" si="684"/>
        <v>7.9383487809505208E-3</v>
      </c>
      <c r="J1224" s="4">
        <f t="shared" si="684"/>
        <v>7.9383487809505208E-3</v>
      </c>
      <c r="K1224" s="4">
        <f t="shared" si="684"/>
        <v>7.9383487809505208E-3</v>
      </c>
      <c r="L1224" s="4">
        <f t="shared" si="684"/>
        <v>7.9383487809505208E-3</v>
      </c>
      <c r="M1224" s="4">
        <f t="shared" si="684"/>
        <v>7.9383487809505208E-3</v>
      </c>
      <c r="N1224" t="s">
        <v>256</v>
      </c>
      <c r="O1224" t="s">
        <v>354</v>
      </c>
      <c r="P1224" t="s">
        <v>351</v>
      </c>
      <c r="Q1224" s="4" t="s">
        <v>245</v>
      </c>
    </row>
    <row r="1225" spans="1:17" x14ac:dyDescent="0.25">
      <c r="A1225" t="s">
        <v>565</v>
      </c>
      <c r="B1225" t="s">
        <v>99</v>
      </c>
      <c r="C1225" s="4">
        <f t="shared" ref="C1225:M1225" si="685">(0.0328453630665826/(0.0328453630665826+0.350336698877979+0.0822572721273277+0.0181224344560457+0.178561789731549)) * 0.221694159762006%</f>
        <v>1.0997381193119261E-4</v>
      </c>
      <c r="D1225" s="4">
        <f t="shared" si="685"/>
        <v>1.0997381193119261E-4</v>
      </c>
      <c r="E1225" s="4">
        <f t="shared" si="685"/>
        <v>1.0997381193119261E-4</v>
      </c>
      <c r="F1225" s="4">
        <f t="shared" si="685"/>
        <v>1.0997381193119261E-4</v>
      </c>
      <c r="G1225" s="4">
        <f t="shared" si="685"/>
        <v>1.0997381193119261E-4</v>
      </c>
      <c r="H1225" s="4">
        <f t="shared" si="685"/>
        <v>1.0997381193119261E-4</v>
      </c>
      <c r="I1225" s="4">
        <f t="shared" si="685"/>
        <v>1.0997381193119261E-4</v>
      </c>
      <c r="J1225" s="4">
        <f t="shared" si="685"/>
        <v>1.0997381193119261E-4</v>
      </c>
      <c r="K1225" s="4">
        <f t="shared" si="685"/>
        <v>1.0997381193119261E-4</v>
      </c>
      <c r="L1225" s="4">
        <f t="shared" si="685"/>
        <v>1.0997381193119261E-4</v>
      </c>
      <c r="M1225" s="4">
        <f t="shared" si="685"/>
        <v>1.0997381193119261E-4</v>
      </c>
      <c r="N1225" t="s">
        <v>242</v>
      </c>
      <c r="O1225" t="s">
        <v>358</v>
      </c>
      <c r="P1225" t="s">
        <v>351</v>
      </c>
      <c r="Q1225" s="4" t="s">
        <v>245</v>
      </c>
    </row>
    <row r="1226" spans="1:17" x14ac:dyDescent="0.25">
      <c r="A1226" t="s">
        <v>565</v>
      </c>
      <c r="B1226" t="s">
        <v>99</v>
      </c>
      <c r="C1226" s="4">
        <f t="shared" ref="C1226:M1226" si="686">(0.350336698877979/(0.0328453630665826+0.350336698877979+0.0822572721273277+0.0181224344560457+0.178561789731549)) * 0.221694159762006%</f>
        <v>1.1730076527666879E-3</v>
      </c>
      <c r="D1226" s="4">
        <f t="shared" si="686"/>
        <v>1.1730076527666879E-3</v>
      </c>
      <c r="E1226" s="4">
        <f t="shared" si="686"/>
        <v>1.1730076527666879E-3</v>
      </c>
      <c r="F1226" s="4">
        <f t="shared" si="686"/>
        <v>1.1730076527666879E-3</v>
      </c>
      <c r="G1226" s="4">
        <f t="shared" si="686"/>
        <v>1.1730076527666879E-3</v>
      </c>
      <c r="H1226" s="4">
        <f t="shared" si="686"/>
        <v>1.1730076527666879E-3</v>
      </c>
      <c r="I1226" s="4">
        <f t="shared" si="686"/>
        <v>1.1730076527666879E-3</v>
      </c>
      <c r="J1226" s="4">
        <f t="shared" si="686"/>
        <v>1.1730076527666879E-3</v>
      </c>
      <c r="K1226" s="4">
        <f t="shared" si="686"/>
        <v>1.1730076527666879E-3</v>
      </c>
      <c r="L1226" s="4">
        <f t="shared" si="686"/>
        <v>1.1730076527666879E-3</v>
      </c>
      <c r="M1226" s="4">
        <f t="shared" si="686"/>
        <v>1.1730076527666879E-3</v>
      </c>
      <c r="N1226" t="s">
        <v>256</v>
      </c>
      <c r="O1226" t="s">
        <v>356</v>
      </c>
      <c r="P1226" t="s">
        <v>351</v>
      </c>
      <c r="Q1226" s="4" t="s">
        <v>245</v>
      </c>
    </row>
    <row r="1227" spans="1:17" x14ac:dyDescent="0.25">
      <c r="A1227" t="s">
        <v>565</v>
      </c>
      <c r="B1227" t="s">
        <v>99</v>
      </c>
      <c r="C1227" s="4">
        <f t="shared" ref="C1227:M1227" si="687">(0.0822572721273277/(0.0328453630665826+0.350336698877979+0.0822572721273277+0.0181224344560457+0.178561789731549)) * 0.221694159762006%</f>
        <v>2.7541622105274762E-4</v>
      </c>
      <c r="D1227" s="4">
        <f t="shared" si="687"/>
        <v>2.7541622105274762E-4</v>
      </c>
      <c r="E1227" s="4">
        <f t="shared" si="687"/>
        <v>2.7541622105274762E-4</v>
      </c>
      <c r="F1227" s="4">
        <f t="shared" si="687"/>
        <v>2.7541622105274762E-4</v>
      </c>
      <c r="G1227" s="4">
        <f t="shared" si="687"/>
        <v>2.7541622105274762E-4</v>
      </c>
      <c r="H1227" s="4">
        <f t="shared" si="687"/>
        <v>2.7541622105274762E-4</v>
      </c>
      <c r="I1227" s="4">
        <f t="shared" si="687"/>
        <v>2.7541622105274762E-4</v>
      </c>
      <c r="J1227" s="4">
        <f t="shared" si="687"/>
        <v>2.7541622105274762E-4</v>
      </c>
      <c r="K1227" s="4">
        <f t="shared" si="687"/>
        <v>2.7541622105274762E-4</v>
      </c>
      <c r="L1227" s="4">
        <f t="shared" si="687"/>
        <v>2.7541622105274762E-4</v>
      </c>
      <c r="M1227" s="4">
        <f t="shared" si="687"/>
        <v>2.7541622105274762E-4</v>
      </c>
      <c r="N1227" t="s">
        <v>256</v>
      </c>
      <c r="O1227" t="s">
        <v>353</v>
      </c>
      <c r="P1227" t="s">
        <v>351</v>
      </c>
      <c r="Q1227" s="4" t="s">
        <v>245</v>
      </c>
    </row>
    <row r="1228" spans="1:17" x14ac:dyDescent="0.25">
      <c r="A1228" t="s">
        <v>565</v>
      </c>
      <c r="B1228" t="s">
        <v>99</v>
      </c>
      <c r="C1228" s="4">
        <f t="shared" ref="C1228:M1228" si="688">(0.0181224344560457/(0.0328453630665826+0.350336698877979+0.0822572721273277+0.0181224344560457+0.178561789731549)) * 0.221694159762006%</f>
        <v>6.0678068760099588E-5</v>
      </c>
      <c r="D1228" s="4">
        <f t="shared" si="688"/>
        <v>6.0678068760099588E-5</v>
      </c>
      <c r="E1228" s="4">
        <f t="shared" si="688"/>
        <v>6.0678068760099588E-5</v>
      </c>
      <c r="F1228" s="4">
        <f t="shared" si="688"/>
        <v>6.0678068760099588E-5</v>
      </c>
      <c r="G1228" s="4">
        <f t="shared" si="688"/>
        <v>6.0678068760099588E-5</v>
      </c>
      <c r="H1228" s="4">
        <f t="shared" si="688"/>
        <v>6.0678068760099588E-5</v>
      </c>
      <c r="I1228" s="4">
        <f t="shared" si="688"/>
        <v>6.0678068760099588E-5</v>
      </c>
      <c r="J1228" s="4">
        <f t="shared" si="688"/>
        <v>6.0678068760099588E-5</v>
      </c>
      <c r="K1228" s="4">
        <f t="shared" si="688"/>
        <v>6.0678068760099588E-5</v>
      </c>
      <c r="L1228" s="4">
        <f t="shared" si="688"/>
        <v>6.0678068760099588E-5</v>
      </c>
      <c r="M1228" s="4">
        <f t="shared" si="688"/>
        <v>6.0678068760099588E-5</v>
      </c>
      <c r="N1228" t="s">
        <v>256</v>
      </c>
      <c r="O1228" t="s">
        <v>280</v>
      </c>
      <c r="P1228" t="s">
        <v>351</v>
      </c>
      <c r="Q1228" s="4" t="s">
        <v>245</v>
      </c>
    </row>
    <row r="1229" spans="1:17" x14ac:dyDescent="0.25">
      <c r="A1229" t="s">
        <v>565</v>
      </c>
      <c r="B1229" t="s">
        <v>99</v>
      </c>
      <c r="C1229" s="4">
        <f t="shared" ref="C1229:M1229" si="689">(0.178561789731549/(0.0328453630665826+0.350336698877979+0.0822572721273277+0.0181224344560457+0.178561789731549)) * 0.221694159762006%</f>
        <v>5.9786584310933218E-4</v>
      </c>
      <c r="D1229" s="4">
        <f t="shared" si="689"/>
        <v>5.9786584310933218E-4</v>
      </c>
      <c r="E1229" s="4">
        <f t="shared" si="689"/>
        <v>5.9786584310933218E-4</v>
      </c>
      <c r="F1229" s="4">
        <f t="shared" si="689"/>
        <v>5.9786584310933218E-4</v>
      </c>
      <c r="G1229" s="4">
        <f t="shared" si="689"/>
        <v>5.9786584310933218E-4</v>
      </c>
      <c r="H1229" s="4">
        <f t="shared" si="689"/>
        <v>5.9786584310933218E-4</v>
      </c>
      <c r="I1229" s="4">
        <f t="shared" si="689"/>
        <v>5.9786584310933218E-4</v>
      </c>
      <c r="J1229" s="4">
        <f t="shared" si="689"/>
        <v>5.9786584310933218E-4</v>
      </c>
      <c r="K1229" s="4">
        <f t="shared" si="689"/>
        <v>5.9786584310933218E-4</v>
      </c>
      <c r="L1229" s="4">
        <f t="shared" si="689"/>
        <v>5.9786584310933218E-4</v>
      </c>
      <c r="M1229" s="4">
        <f t="shared" si="689"/>
        <v>5.9786584310933218E-4</v>
      </c>
      <c r="N1229" t="s">
        <v>256</v>
      </c>
      <c r="O1229" t="s">
        <v>354</v>
      </c>
      <c r="P1229" t="s">
        <v>351</v>
      </c>
      <c r="Q1229" s="4" t="s">
        <v>245</v>
      </c>
    </row>
    <row r="1230" spans="1:17" x14ac:dyDescent="0.25">
      <c r="A1230" t="s">
        <v>565</v>
      </c>
      <c r="B1230" t="s">
        <v>100</v>
      </c>
      <c r="C1230" s="4">
        <f t="shared" ref="C1230:M1230" si="690">(0.0328453630665826/(0.0328453630665826+0.350336698877979+0.0822572721273277+0.0181224344560457+0.178561789731549)) * 0.981692787102501%</f>
        <v>4.869794407706407E-4</v>
      </c>
      <c r="D1230" s="4">
        <f t="shared" si="690"/>
        <v>4.869794407706407E-4</v>
      </c>
      <c r="E1230" s="4">
        <f t="shared" si="690"/>
        <v>4.869794407706407E-4</v>
      </c>
      <c r="F1230" s="4">
        <f t="shared" si="690"/>
        <v>4.869794407706407E-4</v>
      </c>
      <c r="G1230" s="4">
        <f t="shared" si="690"/>
        <v>4.869794407706407E-4</v>
      </c>
      <c r="H1230" s="4">
        <f t="shared" si="690"/>
        <v>4.869794407706407E-4</v>
      </c>
      <c r="I1230" s="4">
        <f t="shared" si="690"/>
        <v>4.869794407706407E-4</v>
      </c>
      <c r="J1230" s="4">
        <f t="shared" si="690"/>
        <v>4.869794407706407E-4</v>
      </c>
      <c r="K1230" s="4">
        <f t="shared" si="690"/>
        <v>4.869794407706407E-4</v>
      </c>
      <c r="L1230" s="4">
        <f t="shared" si="690"/>
        <v>4.869794407706407E-4</v>
      </c>
      <c r="M1230" s="4">
        <f t="shared" si="690"/>
        <v>4.869794407706407E-4</v>
      </c>
      <c r="N1230" t="s">
        <v>242</v>
      </c>
      <c r="O1230" t="s">
        <v>358</v>
      </c>
      <c r="P1230" t="s">
        <v>351</v>
      </c>
      <c r="Q1230" s="4" t="s">
        <v>245</v>
      </c>
    </row>
    <row r="1231" spans="1:17" x14ac:dyDescent="0.25">
      <c r="A1231" t="s">
        <v>565</v>
      </c>
      <c r="B1231" t="s">
        <v>100</v>
      </c>
      <c r="C1231" s="4">
        <f t="shared" ref="C1231:M1231" si="691">(0.350336698877979/(0.0328453630665826+0.350336698877979+0.0822572721273277+0.0181224344560457+0.178561789731549)) * 0.981692787102501%</f>
        <v>5.1942421630470159E-3</v>
      </c>
      <c r="D1231" s="4">
        <f t="shared" si="691"/>
        <v>5.1942421630470159E-3</v>
      </c>
      <c r="E1231" s="4">
        <f t="shared" si="691"/>
        <v>5.1942421630470159E-3</v>
      </c>
      <c r="F1231" s="4">
        <f t="shared" si="691"/>
        <v>5.1942421630470159E-3</v>
      </c>
      <c r="G1231" s="4">
        <f t="shared" si="691"/>
        <v>5.1942421630470159E-3</v>
      </c>
      <c r="H1231" s="4">
        <f t="shared" si="691"/>
        <v>5.1942421630470159E-3</v>
      </c>
      <c r="I1231" s="4">
        <f t="shared" si="691"/>
        <v>5.1942421630470159E-3</v>
      </c>
      <c r="J1231" s="4">
        <f t="shared" si="691"/>
        <v>5.1942421630470159E-3</v>
      </c>
      <c r="K1231" s="4">
        <f t="shared" si="691"/>
        <v>5.1942421630470159E-3</v>
      </c>
      <c r="L1231" s="4">
        <f t="shared" si="691"/>
        <v>5.1942421630470159E-3</v>
      </c>
      <c r="M1231" s="4">
        <f t="shared" si="691"/>
        <v>5.1942421630470159E-3</v>
      </c>
      <c r="N1231" t="s">
        <v>256</v>
      </c>
      <c r="O1231" t="s">
        <v>356</v>
      </c>
      <c r="P1231" t="s">
        <v>351</v>
      </c>
      <c r="Q1231" s="4" t="s">
        <v>245</v>
      </c>
    </row>
    <row r="1232" spans="1:17" x14ac:dyDescent="0.25">
      <c r="A1232" t="s">
        <v>565</v>
      </c>
      <c r="B1232" t="s">
        <v>100</v>
      </c>
      <c r="C1232" s="4">
        <f t="shared" ref="C1232:M1232" si="692">(0.0822572721273277/(0.0328453630665826+0.350336698877979+0.0822572721273277+0.0181224344560457+0.178561789731549)) * 0.981692787102501%</f>
        <v>1.2195815981294387E-3</v>
      </c>
      <c r="D1232" s="4">
        <f t="shared" si="692"/>
        <v>1.2195815981294387E-3</v>
      </c>
      <c r="E1232" s="4">
        <f t="shared" si="692"/>
        <v>1.2195815981294387E-3</v>
      </c>
      <c r="F1232" s="4">
        <f t="shared" si="692"/>
        <v>1.2195815981294387E-3</v>
      </c>
      <c r="G1232" s="4">
        <f t="shared" si="692"/>
        <v>1.2195815981294387E-3</v>
      </c>
      <c r="H1232" s="4">
        <f t="shared" si="692"/>
        <v>1.2195815981294387E-3</v>
      </c>
      <c r="I1232" s="4">
        <f t="shared" si="692"/>
        <v>1.2195815981294387E-3</v>
      </c>
      <c r="J1232" s="4">
        <f t="shared" si="692"/>
        <v>1.2195815981294387E-3</v>
      </c>
      <c r="K1232" s="4">
        <f t="shared" si="692"/>
        <v>1.2195815981294387E-3</v>
      </c>
      <c r="L1232" s="4">
        <f t="shared" si="692"/>
        <v>1.2195815981294387E-3</v>
      </c>
      <c r="M1232" s="4">
        <f t="shared" si="692"/>
        <v>1.2195815981294387E-3</v>
      </c>
      <c r="N1232" t="s">
        <v>256</v>
      </c>
      <c r="O1232" t="s">
        <v>353</v>
      </c>
      <c r="P1232" t="s">
        <v>351</v>
      </c>
      <c r="Q1232" s="4" t="s">
        <v>245</v>
      </c>
    </row>
    <row r="1233" spans="1:17" x14ac:dyDescent="0.25">
      <c r="A1233" t="s">
        <v>565</v>
      </c>
      <c r="B1233" t="s">
        <v>100</v>
      </c>
      <c r="C1233" s="4">
        <f t="shared" ref="C1233:M1233" si="693">(0.0181224344560457/(0.0328453630665826+0.350336698877979+0.0822572721273277+0.0181224344560457+0.178561789731549)) * 0.981692787102501%</f>
        <v>2.6869098627156537E-4</v>
      </c>
      <c r="D1233" s="4">
        <f t="shared" si="693"/>
        <v>2.6869098627156537E-4</v>
      </c>
      <c r="E1233" s="4">
        <f t="shared" si="693"/>
        <v>2.6869098627156537E-4</v>
      </c>
      <c r="F1233" s="4">
        <f t="shared" si="693"/>
        <v>2.6869098627156537E-4</v>
      </c>
      <c r="G1233" s="4">
        <f t="shared" si="693"/>
        <v>2.6869098627156537E-4</v>
      </c>
      <c r="H1233" s="4">
        <f t="shared" si="693"/>
        <v>2.6869098627156537E-4</v>
      </c>
      <c r="I1233" s="4">
        <f t="shared" si="693"/>
        <v>2.6869098627156537E-4</v>
      </c>
      <c r="J1233" s="4">
        <f t="shared" si="693"/>
        <v>2.6869098627156537E-4</v>
      </c>
      <c r="K1233" s="4">
        <f t="shared" si="693"/>
        <v>2.6869098627156537E-4</v>
      </c>
      <c r="L1233" s="4">
        <f t="shared" si="693"/>
        <v>2.6869098627156537E-4</v>
      </c>
      <c r="M1233" s="4">
        <f t="shared" si="693"/>
        <v>2.6869098627156537E-4</v>
      </c>
      <c r="N1233" t="s">
        <v>256</v>
      </c>
      <c r="O1233" t="s">
        <v>280</v>
      </c>
      <c r="P1233" t="s">
        <v>351</v>
      </c>
      <c r="Q1233" s="4" t="s">
        <v>245</v>
      </c>
    </row>
    <row r="1234" spans="1:17" x14ac:dyDescent="0.25">
      <c r="A1234" t="s">
        <v>565</v>
      </c>
      <c r="B1234" t="s">
        <v>100</v>
      </c>
      <c r="C1234" s="4">
        <f t="shared" ref="C1234:M1234" si="694">(0.178561789731549/(0.0328453630665826+0.350336698877979+0.0822572721273277+0.0181224344560457+0.178561789731549)) * 0.981692787102501%</f>
        <v>2.6474336828063503E-3</v>
      </c>
      <c r="D1234" s="4">
        <f t="shared" si="694"/>
        <v>2.6474336828063503E-3</v>
      </c>
      <c r="E1234" s="4">
        <f t="shared" si="694"/>
        <v>2.6474336828063503E-3</v>
      </c>
      <c r="F1234" s="4">
        <f t="shared" si="694"/>
        <v>2.6474336828063503E-3</v>
      </c>
      <c r="G1234" s="4">
        <f t="shared" si="694"/>
        <v>2.6474336828063503E-3</v>
      </c>
      <c r="H1234" s="4">
        <f t="shared" si="694"/>
        <v>2.6474336828063503E-3</v>
      </c>
      <c r="I1234" s="4">
        <f t="shared" si="694"/>
        <v>2.6474336828063503E-3</v>
      </c>
      <c r="J1234" s="4">
        <f t="shared" si="694"/>
        <v>2.6474336828063503E-3</v>
      </c>
      <c r="K1234" s="4">
        <f t="shared" si="694"/>
        <v>2.6474336828063503E-3</v>
      </c>
      <c r="L1234" s="4">
        <f t="shared" si="694"/>
        <v>2.6474336828063503E-3</v>
      </c>
      <c r="M1234" s="4">
        <f t="shared" si="694"/>
        <v>2.6474336828063503E-3</v>
      </c>
      <c r="N1234" t="s">
        <v>256</v>
      </c>
      <c r="O1234" t="s">
        <v>354</v>
      </c>
      <c r="P1234" t="s">
        <v>351</v>
      </c>
      <c r="Q1234" s="4" t="s">
        <v>245</v>
      </c>
    </row>
    <row r="1235" spans="1:17" x14ac:dyDescent="0.25">
      <c r="A1235" t="s">
        <v>565</v>
      </c>
      <c r="B1235" t="s">
        <v>119</v>
      </c>
      <c r="C1235" s="4">
        <f t="shared" ref="C1235:M1235" si="695">(0.0328453630665826/(0.0328453630665826+0.350336698877979+0.0822572721273277+0.0181224344560457+0.178561789731549)) * 0.198715984384732%</f>
        <v>9.8575236794278397E-5</v>
      </c>
      <c r="D1235" s="4">
        <f t="shared" si="695"/>
        <v>9.8575236794278397E-5</v>
      </c>
      <c r="E1235" s="4">
        <f t="shared" si="695"/>
        <v>9.8575236794278397E-5</v>
      </c>
      <c r="F1235" s="4">
        <f t="shared" si="695"/>
        <v>9.8575236794278397E-5</v>
      </c>
      <c r="G1235" s="4">
        <f t="shared" si="695"/>
        <v>9.8575236794278397E-5</v>
      </c>
      <c r="H1235" s="4">
        <f t="shared" si="695"/>
        <v>9.8575236794278397E-5</v>
      </c>
      <c r="I1235" s="4">
        <f t="shared" si="695"/>
        <v>9.8575236794278397E-5</v>
      </c>
      <c r="J1235" s="4">
        <f t="shared" si="695"/>
        <v>9.8575236794278397E-5</v>
      </c>
      <c r="K1235" s="4">
        <f t="shared" si="695"/>
        <v>9.8575236794278397E-5</v>
      </c>
      <c r="L1235" s="4">
        <f t="shared" si="695"/>
        <v>9.8575236794278397E-5</v>
      </c>
      <c r="M1235" s="4">
        <f t="shared" si="695"/>
        <v>9.8575236794278397E-5</v>
      </c>
      <c r="N1235" t="s">
        <v>242</v>
      </c>
      <c r="O1235" t="s">
        <v>358</v>
      </c>
      <c r="P1235" t="s">
        <v>351</v>
      </c>
      <c r="Q1235" s="4" t="s">
        <v>245</v>
      </c>
    </row>
    <row r="1236" spans="1:17" x14ac:dyDescent="0.25">
      <c r="A1236" t="s">
        <v>565</v>
      </c>
      <c r="B1236" t="s">
        <v>119</v>
      </c>
      <c r="C1236" s="4">
        <f t="shared" ref="C1236:M1236" si="696">(0.350336698877979/(0.0328453630665826+0.350336698877979+0.0822572721273277+0.0181224344560457+0.178561789731549)) * 0.198715984384732%</f>
        <v>1.0514276544794404E-3</v>
      </c>
      <c r="D1236" s="4">
        <f t="shared" si="696"/>
        <v>1.0514276544794404E-3</v>
      </c>
      <c r="E1236" s="4">
        <f t="shared" si="696"/>
        <v>1.0514276544794404E-3</v>
      </c>
      <c r="F1236" s="4">
        <f t="shared" si="696"/>
        <v>1.0514276544794404E-3</v>
      </c>
      <c r="G1236" s="4">
        <f t="shared" si="696"/>
        <v>1.0514276544794404E-3</v>
      </c>
      <c r="H1236" s="4">
        <f t="shared" si="696"/>
        <v>1.0514276544794404E-3</v>
      </c>
      <c r="I1236" s="4">
        <f t="shared" si="696"/>
        <v>1.0514276544794404E-3</v>
      </c>
      <c r="J1236" s="4">
        <f t="shared" si="696"/>
        <v>1.0514276544794404E-3</v>
      </c>
      <c r="K1236" s="4">
        <f t="shared" si="696"/>
        <v>1.0514276544794404E-3</v>
      </c>
      <c r="L1236" s="4">
        <f t="shared" si="696"/>
        <v>1.0514276544794404E-3</v>
      </c>
      <c r="M1236" s="4">
        <f t="shared" si="696"/>
        <v>1.0514276544794404E-3</v>
      </c>
      <c r="N1236" t="s">
        <v>256</v>
      </c>
      <c r="O1236" t="s">
        <v>356</v>
      </c>
      <c r="P1236" t="s">
        <v>351</v>
      </c>
      <c r="Q1236" s="4" t="s">
        <v>245</v>
      </c>
    </row>
    <row r="1237" spans="1:17" x14ac:dyDescent="0.25">
      <c r="A1237" t="s">
        <v>565</v>
      </c>
      <c r="B1237" t="s">
        <v>119</v>
      </c>
      <c r="C1237" s="4">
        <f t="shared" ref="C1237:M1237" si="697">(0.0822572721273277/(0.0328453630665826+0.350336698877979+0.0822572721273277+0.0181224344560457+0.178561789731549)) * 0.198715984384732%</f>
        <v>2.4686985683688398E-4</v>
      </c>
      <c r="D1237" s="4">
        <f t="shared" si="697"/>
        <v>2.4686985683688398E-4</v>
      </c>
      <c r="E1237" s="4">
        <f t="shared" si="697"/>
        <v>2.4686985683688398E-4</v>
      </c>
      <c r="F1237" s="4">
        <f t="shared" si="697"/>
        <v>2.4686985683688398E-4</v>
      </c>
      <c r="G1237" s="4">
        <f t="shared" si="697"/>
        <v>2.4686985683688398E-4</v>
      </c>
      <c r="H1237" s="4">
        <f t="shared" si="697"/>
        <v>2.4686985683688398E-4</v>
      </c>
      <c r="I1237" s="4">
        <f t="shared" si="697"/>
        <v>2.4686985683688398E-4</v>
      </c>
      <c r="J1237" s="4">
        <f t="shared" si="697"/>
        <v>2.4686985683688398E-4</v>
      </c>
      <c r="K1237" s="4">
        <f t="shared" si="697"/>
        <v>2.4686985683688398E-4</v>
      </c>
      <c r="L1237" s="4">
        <f t="shared" si="697"/>
        <v>2.4686985683688398E-4</v>
      </c>
      <c r="M1237" s="4">
        <f t="shared" si="697"/>
        <v>2.4686985683688398E-4</v>
      </c>
      <c r="N1237" t="s">
        <v>256</v>
      </c>
      <c r="O1237" t="s">
        <v>353</v>
      </c>
      <c r="P1237" t="s">
        <v>351</v>
      </c>
      <c r="Q1237" s="4" t="s">
        <v>245</v>
      </c>
    </row>
    <row r="1238" spans="1:17" x14ac:dyDescent="0.25">
      <c r="A1238" t="s">
        <v>565</v>
      </c>
      <c r="B1238" t="s">
        <v>119</v>
      </c>
      <c r="C1238" s="4">
        <f t="shared" ref="C1238:M1238" si="698">(0.0181224344560457/(0.0328453630665826+0.350336698877979+0.0822572721273277+0.0181224344560457+0.178561789731549)) * 0.198715984384732%</f>
        <v>5.4388903059836486E-5</v>
      </c>
      <c r="D1238" s="4">
        <f t="shared" si="698"/>
        <v>5.4388903059836486E-5</v>
      </c>
      <c r="E1238" s="4">
        <f t="shared" si="698"/>
        <v>5.4388903059836486E-5</v>
      </c>
      <c r="F1238" s="4">
        <f t="shared" si="698"/>
        <v>5.4388903059836486E-5</v>
      </c>
      <c r="G1238" s="4">
        <f t="shared" si="698"/>
        <v>5.4388903059836486E-5</v>
      </c>
      <c r="H1238" s="4">
        <f t="shared" si="698"/>
        <v>5.4388903059836486E-5</v>
      </c>
      <c r="I1238" s="4">
        <f t="shared" si="698"/>
        <v>5.4388903059836486E-5</v>
      </c>
      <c r="J1238" s="4">
        <f t="shared" si="698"/>
        <v>5.4388903059836486E-5</v>
      </c>
      <c r="K1238" s="4">
        <f t="shared" si="698"/>
        <v>5.4388903059836486E-5</v>
      </c>
      <c r="L1238" s="4">
        <f t="shared" si="698"/>
        <v>5.4388903059836486E-5</v>
      </c>
      <c r="M1238" s="4">
        <f t="shared" si="698"/>
        <v>5.4388903059836486E-5</v>
      </c>
      <c r="N1238" t="s">
        <v>256</v>
      </c>
      <c r="O1238" t="s">
        <v>280</v>
      </c>
      <c r="P1238" t="s">
        <v>351</v>
      </c>
      <c r="Q1238" s="4" t="s">
        <v>245</v>
      </c>
    </row>
    <row r="1239" spans="1:17" x14ac:dyDescent="0.25">
      <c r="A1239" t="s">
        <v>565</v>
      </c>
      <c r="B1239" t="s">
        <v>119</v>
      </c>
      <c r="C1239" s="4">
        <f t="shared" ref="C1239:M1239" si="699">(0.178561789731549/(0.0328453630665826+0.350336698877979+0.0822572721273277+0.0181224344560457+0.178561789731549)) * 0.198715984384732%</f>
        <v>5.3589819267688089E-4</v>
      </c>
      <c r="D1239" s="4">
        <f t="shared" si="699"/>
        <v>5.3589819267688089E-4</v>
      </c>
      <c r="E1239" s="4">
        <f t="shared" si="699"/>
        <v>5.3589819267688089E-4</v>
      </c>
      <c r="F1239" s="4">
        <f t="shared" si="699"/>
        <v>5.3589819267688089E-4</v>
      </c>
      <c r="G1239" s="4">
        <f t="shared" si="699"/>
        <v>5.3589819267688089E-4</v>
      </c>
      <c r="H1239" s="4">
        <f t="shared" si="699"/>
        <v>5.3589819267688089E-4</v>
      </c>
      <c r="I1239" s="4">
        <f t="shared" si="699"/>
        <v>5.3589819267688089E-4</v>
      </c>
      <c r="J1239" s="4">
        <f t="shared" si="699"/>
        <v>5.3589819267688089E-4</v>
      </c>
      <c r="K1239" s="4">
        <f t="shared" si="699"/>
        <v>5.3589819267688089E-4</v>
      </c>
      <c r="L1239" s="4">
        <f t="shared" si="699"/>
        <v>5.3589819267688089E-4</v>
      </c>
      <c r="M1239" s="4">
        <f t="shared" si="699"/>
        <v>5.3589819267688089E-4</v>
      </c>
      <c r="N1239" t="s">
        <v>256</v>
      </c>
      <c r="O1239" t="s">
        <v>354</v>
      </c>
      <c r="P1239" t="s">
        <v>351</v>
      </c>
      <c r="Q1239" s="4" t="s">
        <v>245</v>
      </c>
    </row>
    <row r="1240" spans="1:17" x14ac:dyDescent="0.25">
      <c r="A1240" t="s">
        <v>565</v>
      </c>
      <c r="B1240" t="s">
        <v>102</v>
      </c>
      <c r="C1240" s="4">
        <f t="shared" ref="C1240:M1240" si="700">(0.0328453630665826/(0.0328453630665826+0.350336698877979+0.0822572721273277+0.0181224344560457+0.178561789731549)) * 3.16027711558885%</f>
        <v>1.567690017334335E-3</v>
      </c>
      <c r="D1240" s="4">
        <f t="shared" si="700"/>
        <v>1.567690017334335E-3</v>
      </c>
      <c r="E1240" s="4">
        <f t="shared" si="700"/>
        <v>1.567690017334335E-3</v>
      </c>
      <c r="F1240" s="4">
        <f t="shared" si="700"/>
        <v>1.567690017334335E-3</v>
      </c>
      <c r="G1240" s="4">
        <f t="shared" si="700"/>
        <v>1.567690017334335E-3</v>
      </c>
      <c r="H1240" s="4">
        <f t="shared" si="700"/>
        <v>1.567690017334335E-3</v>
      </c>
      <c r="I1240" s="4">
        <f t="shared" si="700"/>
        <v>1.567690017334335E-3</v>
      </c>
      <c r="J1240" s="4">
        <f t="shared" si="700"/>
        <v>1.567690017334335E-3</v>
      </c>
      <c r="K1240" s="4">
        <f t="shared" si="700"/>
        <v>1.567690017334335E-3</v>
      </c>
      <c r="L1240" s="4">
        <f t="shared" si="700"/>
        <v>1.567690017334335E-3</v>
      </c>
      <c r="M1240" s="4">
        <f t="shared" si="700"/>
        <v>1.567690017334335E-3</v>
      </c>
      <c r="N1240" t="s">
        <v>242</v>
      </c>
      <c r="O1240" t="s">
        <v>358</v>
      </c>
      <c r="P1240" t="s">
        <v>351</v>
      </c>
      <c r="Q1240" s="4" t="s">
        <v>245</v>
      </c>
    </row>
    <row r="1241" spans="1:17" x14ac:dyDescent="0.25">
      <c r="A1241" t="s">
        <v>565</v>
      </c>
      <c r="B1241" t="s">
        <v>102</v>
      </c>
      <c r="C1241" s="4">
        <f t="shared" ref="C1241:M1241" si="701">(0.350336698877979/(0.0328453630665826+0.350336698877979+0.0822572721273277+0.0181224344560457+0.178561789731549)) * 3.16027711558885%</f>
        <v>1.6721366252628128E-2</v>
      </c>
      <c r="D1241" s="4">
        <f t="shared" si="701"/>
        <v>1.6721366252628128E-2</v>
      </c>
      <c r="E1241" s="4">
        <f t="shared" si="701"/>
        <v>1.6721366252628128E-2</v>
      </c>
      <c r="F1241" s="4">
        <f t="shared" si="701"/>
        <v>1.6721366252628128E-2</v>
      </c>
      <c r="G1241" s="4">
        <f t="shared" si="701"/>
        <v>1.6721366252628128E-2</v>
      </c>
      <c r="H1241" s="4">
        <f t="shared" si="701"/>
        <v>1.6721366252628128E-2</v>
      </c>
      <c r="I1241" s="4">
        <f t="shared" si="701"/>
        <v>1.6721366252628128E-2</v>
      </c>
      <c r="J1241" s="4">
        <f t="shared" si="701"/>
        <v>1.6721366252628128E-2</v>
      </c>
      <c r="K1241" s="4">
        <f t="shared" si="701"/>
        <v>1.6721366252628128E-2</v>
      </c>
      <c r="L1241" s="4">
        <f t="shared" si="701"/>
        <v>1.6721366252628128E-2</v>
      </c>
      <c r="M1241" s="4">
        <f t="shared" si="701"/>
        <v>1.6721366252628128E-2</v>
      </c>
      <c r="N1241" t="s">
        <v>256</v>
      </c>
      <c r="O1241" t="s">
        <v>356</v>
      </c>
      <c r="P1241" t="s">
        <v>351</v>
      </c>
      <c r="Q1241" s="4" t="s">
        <v>245</v>
      </c>
    </row>
    <row r="1242" spans="1:17" x14ac:dyDescent="0.25">
      <c r="A1242" t="s">
        <v>565</v>
      </c>
      <c r="B1242" t="s">
        <v>102</v>
      </c>
      <c r="C1242" s="4">
        <f t="shared" ref="C1242:M1242" si="702">(0.0822572721273277/(0.0328453630665826+0.350336698877979+0.0822572721273277+0.0181224344560457+0.178561789731549)) * 3.16027711558885%</f>
        <v>3.9260916101233551E-3</v>
      </c>
      <c r="D1242" s="4">
        <f t="shared" si="702"/>
        <v>3.9260916101233551E-3</v>
      </c>
      <c r="E1242" s="4">
        <f t="shared" si="702"/>
        <v>3.9260916101233551E-3</v>
      </c>
      <c r="F1242" s="4">
        <f t="shared" si="702"/>
        <v>3.9260916101233551E-3</v>
      </c>
      <c r="G1242" s="4">
        <f t="shared" si="702"/>
        <v>3.9260916101233551E-3</v>
      </c>
      <c r="H1242" s="4">
        <f t="shared" si="702"/>
        <v>3.9260916101233551E-3</v>
      </c>
      <c r="I1242" s="4">
        <f t="shared" si="702"/>
        <v>3.9260916101233551E-3</v>
      </c>
      <c r="J1242" s="4">
        <f t="shared" si="702"/>
        <v>3.9260916101233551E-3</v>
      </c>
      <c r="K1242" s="4">
        <f t="shared" si="702"/>
        <v>3.9260916101233551E-3</v>
      </c>
      <c r="L1242" s="4">
        <f t="shared" si="702"/>
        <v>3.9260916101233551E-3</v>
      </c>
      <c r="M1242" s="4">
        <f t="shared" si="702"/>
        <v>3.9260916101233551E-3</v>
      </c>
      <c r="N1242" t="s">
        <v>256</v>
      </c>
      <c r="O1242" t="s">
        <v>353</v>
      </c>
      <c r="P1242" t="s">
        <v>351</v>
      </c>
      <c r="Q1242" s="4" t="s">
        <v>245</v>
      </c>
    </row>
    <row r="1243" spans="1:17" x14ac:dyDescent="0.25">
      <c r="A1243" t="s">
        <v>565</v>
      </c>
      <c r="B1243" t="s">
        <v>102</v>
      </c>
      <c r="C1243" s="4">
        <f t="shared" ref="C1243:M1243" si="703">(0.0181224344560457/(0.0328453630665826+0.350336698877979+0.0822572721273277+0.0181224344560457+0.178561789731549)) * 3.16027711558885%</f>
        <v>8.6497322404220243E-4</v>
      </c>
      <c r="D1243" s="4">
        <f t="shared" si="703"/>
        <v>8.6497322404220243E-4</v>
      </c>
      <c r="E1243" s="4">
        <f t="shared" si="703"/>
        <v>8.6497322404220243E-4</v>
      </c>
      <c r="F1243" s="4">
        <f t="shared" si="703"/>
        <v>8.6497322404220243E-4</v>
      </c>
      <c r="G1243" s="4">
        <f t="shared" si="703"/>
        <v>8.6497322404220243E-4</v>
      </c>
      <c r="H1243" s="4">
        <f t="shared" si="703"/>
        <v>8.6497322404220243E-4</v>
      </c>
      <c r="I1243" s="4">
        <f t="shared" si="703"/>
        <v>8.6497322404220243E-4</v>
      </c>
      <c r="J1243" s="4">
        <f t="shared" si="703"/>
        <v>8.6497322404220243E-4</v>
      </c>
      <c r="K1243" s="4">
        <f t="shared" si="703"/>
        <v>8.6497322404220243E-4</v>
      </c>
      <c r="L1243" s="4">
        <f t="shared" si="703"/>
        <v>8.6497322404220243E-4</v>
      </c>
      <c r="M1243" s="4">
        <f t="shared" si="703"/>
        <v>8.6497322404220243E-4</v>
      </c>
      <c r="N1243" t="s">
        <v>256</v>
      </c>
      <c r="O1243" t="s">
        <v>280</v>
      </c>
      <c r="P1243" t="s">
        <v>351</v>
      </c>
      <c r="Q1243" s="4" t="s">
        <v>245</v>
      </c>
    </row>
    <row r="1244" spans="1:17" x14ac:dyDescent="0.25">
      <c r="A1244" t="s">
        <v>565</v>
      </c>
      <c r="B1244" t="s">
        <v>102</v>
      </c>
      <c r="C1244" s="4">
        <f t="shared" ref="C1244:M1244" si="704">(0.178561789731549/(0.0328453630665826+0.350336698877979+0.0822572721273277+0.0181224344560457+0.178561789731549)) * 3.16027711558885%</f>
        <v>8.5226500517604793E-3</v>
      </c>
      <c r="D1244" s="4">
        <f t="shared" si="704"/>
        <v>8.5226500517604793E-3</v>
      </c>
      <c r="E1244" s="4">
        <f t="shared" si="704"/>
        <v>8.5226500517604793E-3</v>
      </c>
      <c r="F1244" s="4">
        <f t="shared" si="704"/>
        <v>8.5226500517604793E-3</v>
      </c>
      <c r="G1244" s="4">
        <f t="shared" si="704"/>
        <v>8.5226500517604793E-3</v>
      </c>
      <c r="H1244" s="4">
        <f t="shared" si="704"/>
        <v>8.5226500517604793E-3</v>
      </c>
      <c r="I1244" s="4">
        <f t="shared" si="704"/>
        <v>8.5226500517604793E-3</v>
      </c>
      <c r="J1244" s="4">
        <f t="shared" si="704"/>
        <v>8.5226500517604793E-3</v>
      </c>
      <c r="K1244" s="4">
        <f t="shared" si="704"/>
        <v>8.5226500517604793E-3</v>
      </c>
      <c r="L1244" s="4">
        <f t="shared" si="704"/>
        <v>8.5226500517604793E-3</v>
      </c>
      <c r="M1244" s="4">
        <f t="shared" si="704"/>
        <v>8.5226500517604793E-3</v>
      </c>
      <c r="N1244" t="s">
        <v>256</v>
      </c>
      <c r="O1244" t="s">
        <v>354</v>
      </c>
      <c r="P1244" t="s">
        <v>351</v>
      </c>
      <c r="Q1244" s="4" t="s">
        <v>245</v>
      </c>
    </row>
    <row r="1245" spans="1:17" x14ac:dyDescent="0.25">
      <c r="A1245" t="s">
        <v>565</v>
      </c>
      <c r="B1245" t="s">
        <v>198</v>
      </c>
      <c r="C1245" s="4">
        <f t="shared" ref="C1245:M1245" si="705">(0.0328453630665826/(0.0328453630665826+0.350336698877979+0.0822572721273277+0.0181224344560457+0.178561789731549)) * 0.0109282030928142%</f>
        <v>5.4210546320444559E-6</v>
      </c>
      <c r="D1245" s="4">
        <f t="shared" si="705"/>
        <v>5.4210546320444559E-6</v>
      </c>
      <c r="E1245" s="4">
        <f t="shared" si="705"/>
        <v>5.4210546320444559E-6</v>
      </c>
      <c r="F1245" s="4">
        <f t="shared" si="705"/>
        <v>5.4210546320444559E-6</v>
      </c>
      <c r="G1245" s="4">
        <f t="shared" si="705"/>
        <v>5.4210546320444559E-6</v>
      </c>
      <c r="H1245" s="4">
        <f t="shared" si="705"/>
        <v>5.4210546320444559E-6</v>
      </c>
      <c r="I1245" s="4">
        <f t="shared" si="705"/>
        <v>5.4210546320444559E-6</v>
      </c>
      <c r="J1245" s="4">
        <f t="shared" si="705"/>
        <v>5.4210546320444559E-6</v>
      </c>
      <c r="K1245" s="4">
        <f t="shared" si="705"/>
        <v>5.4210546320444559E-6</v>
      </c>
      <c r="L1245" s="4">
        <f t="shared" si="705"/>
        <v>5.4210546320444559E-6</v>
      </c>
      <c r="M1245" s="4">
        <f t="shared" si="705"/>
        <v>5.4210546320444559E-6</v>
      </c>
      <c r="N1245" t="s">
        <v>242</v>
      </c>
      <c r="O1245" t="s">
        <v>358</v>
      </c>
      <c r="P1245" t="s">
        <v>351</v>
      </c>
      <c r="Q1245" s="4" t="s">
        <v>245</v>
      </c>
    </row>
    <row r="1246" spans="1:17" x14ac:dyDescent="0.25">
      <c r="A1246" t="s">
        <v>565</v>
      </c>
      <c r="B1246" t="s">
        <v>198</v>
      </c>
      <c r="C1246" s="4">
        <f t="shared" ref="C1246:M1246" si="706">(0.350336698877979/(0.0328453630665826+0.350336698877979+0.0822572721273277+0.0181224344560457+0.178561789731549)) * 0.0109282030928142%</f>
        <v>5.7822298398031792E-5</v>
      </c>
      <c r="D1246" s="4">
        <f t="shared" si="706"/>
        <v>5.7822298398031792E-5</v>
      </c>
      <c r="E1246" s="4">
        <f t="shared" si="706"/>
        <v>5.7822298398031792E-5</v>
      </c>
      <c r="F1246" s="4">
        <f t="shared" si="706"/>
        <v>5.7822298398031792E-5</v>
      </c>
      <c r="G1246" s="4">
        <f t="shared" si="706"/>
        <v>5.7822298398031792E-5</v>
      </c>
      <c r="H1246" s="4">
        <f t="shared" si="706"/>
        <v>5.7822298398031792E-5</v>
      </c>
      <c r="I1246" s="4">
        <f t="shared" si="706"/>
        <v>5.7822298398031792E-5</v>
      </c>
      <c r="J1246" s="4">
        <f t="shared" si="706"/>
        <v>5.7822298398031792E-5</v>
      </c>
      <c r="K1246" s="4">
        <f t="shared" si="706"/>
        <v>5.7822298398031792E-5</v>
      </c>
      <c r="L1246" s="4">
        <f t="shared" si="706"/>
        <v>5.7822298398031792E-5</v>
      </c>
      <c r="M1246" s="4">
        <f t="shared" si="706"/>
        <v>5.7822298398031792E-5</v>
      </c>
      <c r="N1246" t="s">
        <v>256</v>
      </c>
      <c r="O1246" t="s">
        <v>356</v>
      </c>
      <c r="P1246" t="s">
        <v>351</v>
      </c>
      <c r="Q1246" s="4" t="s">
        <v>245</v>
      </c>
    </row>
    <row r="1247" spans="1:17" x14ac:dyDescent="0.25">
      <c r="A1247" t="s">
        <v>565</v>
      </c>
      <c r="B1247" t="s">
        <v>198</v>
      </c>
      <c r="C1247" s="4">
        <f t="shared" ref="C1247:M1247" si="707">(0.0822572721273277/(0.0328453630665826+0.350336698877979+0.0822572721273277+0.0181224344560457+0.178561789731549)) * 0.0109282030928142%</f>
        <v>1.3576381091639641E-5</v>
      </c>
      <c r="D1247" s="4">
        <f t="shared" si="707"/>
        <v>1.3576381091639641E-5</v>
      </c>
      <c r="E1247" s="4">
        <f t="shared" si="707"/>
        <v>1.3576381091639641E-5</v>
      </c>
      <c r="F1247" s="4">
        <f t="shared" si="707"/>
        <v>1.3576381091639641E-5</v>
      </c>
      <c r="G1247" s="4">
        <f t="shared" si="707"/>
        <v>1.3576381091639641E-5</v>
      </c>
      <c r="H1247" s="4">
        <f t="shared" si="707"/>
        <v>1.3576381091639641E-5</v>
      </c>
      <c r="I1247" s="4">
        <f t="shared" si="707"/>
        <v>1.3576381091639641E-5</v>
      </c>
      <c r="J1247" s="4">
        <f t="shared" si="707"/>
        <v>1.3576381091639641E-5</v>
      </c>
      <c r="K1247" s="4">
        <f t="shared" si="707"/>
        <v>1.3576381091639641E-5</v>
      </c>
      <c r="L1247" s="4">
        <f t="shared" si="707"/>
        <v>1.3576381091639641E-5</v>
      </c>
      <c r="M1247" s="4">
        <f t="shared" si="707"/>
        <v>1.3576381091639641E-5</v>
      </c>
      <c r="N1247" t="s">
        <v>256</v>
      </c>
      <c r="O1247" t="s">
        <v>353</v>
      </c>
      <c r="P1247" t="s">
        <v>351</v>
      </c>
      <c r="Q1247" s="4" t="s">
        <v>245</v>
      </c>
    </row>
    <row r="1248" spans="1:17" x14ac:dyDescent="0.25">
      <c r="A1248" t="s">
        <v>565</v>
      </c>
      <c r="B1248" t="s">
        <v>198</v>
      </c>
      <c r="C1248" s="4">
        <f t="shared" ref="C1248:M1248" si="708">(0.0181224344560457/(0.0328453630665826+0.350336698877979+0.0822572721273277+0.0181224344560457+0.178561789731549)) * 0.0109282030928142%</f>
        <v>2.991067781857534E-6</v>
      </c>
      <c r="D1248" s="4">
        <f t="shared" si="708"/>
        <v>2.991067781857534E-6</v>
      </c>
      <c r="E1248" s="4">
        <f t="shared" si="708"/>
        <v>2.991067781857534E-6</v>
      </c>
      <c r="F1248" s="4">
        <f t="shared" si="708"/>
        <v>2.991067781857534E-6</v>
      </c>
      <c r="G1248" s="4">
        <f t="shared" si="708"/>
        <v>2.991067781857534E-6</v>
      </c>
      <c r="H1248" s="4">
        <f t="shared" si="708"/>
        <v>2.991067781857534E-6</v>
      </c>
      <c r="I1248" s="4">
        <f t="shared" si="708"/>
        <v>2.991067781857534E-6</v>
      </c>
      <c r="J1248" s="4">
        <f t="shared" si="708"/>
        <v>2.991067781857534E-6</v>
      </c>
      <c r="K1248" s="4">
        <f t="shared" si="708"/>
        <v>2.991067781857534E-6</v>
      </c>
      <c r="L1248" s="4">
        <f t="shared" si="708"/>
        <v>2.991067781857534E-6</v>
      </c>
      <c r="M1248" s="4">
        <f t="shared" si="708"/>
        <v>2.991067781857534E-6</v>
      </c>
      <c r="N1248" t="s">
        <v>256</v>
      </c>
      <c r="O1248" t="s">
        <v>280</v>
      </c>
      <c r="P1248" t="s">
        <v>351</v>
      </c>
      <c r="Q1248" s="4" t="s">
        <v>245</v>
      </c>
    </row>
    <row r="1249" spans="1:17" x14ac:dyDescent="0.25">
      <c r="A1249" t="s">
        <v>565</v>
      </c>
      <c r="B1249" t="s">
        <v>198</v>
      </c>
      <c r="C1249" s="4">
        <f t="shared" ref="C1249:M1249" si="709">(0.178561789731549/(0.0328453630665826+0.350336698877979+0.0822572721273277+0.0181224344560457+0.178561789731549)) * 0.0109282030928142%</f>
        <v>2.9471229024568573E-5</v>
      </c>
      <c r="D1249" s="4">
        <f t="shared" si="709"/>
        <v>2.9471229024568573E-5</v>
      </c>
      <c r="E1249" s="4">
        <f t="shared" si="709"/>
        <v>2.9471229024568573E-5</v>
      </c>
      <c r="F1249" s="4">
        <f t="shared" si="709"/>
        <v>2.9471229024568573E-5</v>
      </c>
      <c r="G1249" s="4">
        <f t="shared" si="709"/>
        <v>2.9471229024568573E-5</v>
      </c>
      <c r="H1249" s="4">
        <f t="shared" si="709"/>
        <v>2.9471229024568573E-5</v>
      </c>
      <c r="I1249" s="4">
        <f t="shared" si="709"/>
        <v>2.9471229024568573E-5</v>
      </c>
      <c r="J1249" s="4">
        <f t="shared" si="709"/>
        <v>2.9471229024568573E-5</v>
      </c>
      <c r="K1249" s="4">
        <f t="shared" si="709"/>
        <v>2.9471229024568573E-5</v>
      </c>
      <c r="L1249" s="4">
        <f t="shared" si="709"/>
        <v>2.9471229024568573E-5</v>
      </c>
      <c r="M1249" s="4">
        <f t="shared" si="709"/>
        <v>2.9471229024568573E-5</v>
      </c>
      <c r="N1249" t="s">
        <v>256</v>
      </c>
      <c r="O1249" t="s">
        <v>354</v>
      </c>
      <c r="P1249" t="s">
        <v>351</v>
      </c>
      <c r="Q1249" s="4" t="s">
        <v>245</v>
      </c>
    </row>
    <row r="1250" spans="1:17" x14ac:dyDescent="0.25">
      <c r="A1250" t="s">
        <v>565</v>
      </c>
      <c r="B1250" t="s">
        <v>148</v>
      </c>
      <c r="C1250" s="4">
        <f t="shared" ref="C1250:M1250" si="710">(0.0328453630665826/(0.0328453630665826+0.350336698877979+0.0822572721273277+0.0181224344560457+0.178561789731549)) * 0.00635669208599676%</f>
        <v>3.1533066126792698E-6</v>
      </c>
      <c r="D1250" s="4">
        <f t="shared" si="710"/>
        <v>3.1533066126792698E-6</v>
      </c>
      <c r="E1250" s="4">
        <f t="shared" si="710"/>
        <v>3.1533066126792698E-6</v>
      </c>
      <c r="F1250" s="4">
        <f t="shared" si="710"/>
        <v>3.1533066126792698E-6</v>
      </c>
      <c r="G1250" s="4">
        <f t="shared" si="710"/>
        <v>3.1533066126792698E-6</v>
      </c>
      <c r="H1250" s="4">
        <f t="shared" si="710"/>
        <v>3.1533066126792698E-6</v>
      </c>
      <c r="I1250" s="4">
        <f t="shared" si="710"/>
        <v>3.1533066126792698E-6</v>
      </c>
      <c r="J1250" s="4">
        <f t="shared" si="710"/>
        <v>3.1533066126792698E-6</v>
      </c>
      <c r="K1250" s="4">
        <f t="shared" si="710"/>
        <v>3.1533066126792698E-6</v>
      </c>
      <c r="L1250" s="4">
        <f t="shared" si="710"/>
        <v>3.1533066126792698E-6</v>
      </c>
      <c r="M1250" s="4">
        <f t="shared" si="710"/>
        <v>3.1533066126792698E-6</v>
      </c>
      <c r="N1250" t="s">
        <v>242</v>
      </c>
      <c r="O1250" t="s">
        <v>358</v>
      </c>
      <c r="P1250" t="s">
        <v>351</v>
      </c>
      <c r="Q1250" s="4" t="s">
        <v>245</v>
      </c>
    </row>
    <row r="1251" spans="1:17" x14ac:dyDescent="0.25">
      <c r="A1251" t="s">
        <v>565</v>
      </c>
      <c r="B1251" t="s">
        <v>148</v>
      </c>
      <c r="C1251" s="4">
        <f t="shared" ref="C1251:M1251" si="711">(0.350336698877979/(0.0328453630665826+0.350336698877979+0.0822572721273277+0.0181224344560457+0.178561789731549)) * 0.00635669208599676%</f>
        <v>3.3633941783402486E-5</v>
      </c>
      <c r="D1251" s="4">
        <f t="shared" si="711"/>
        <v>3.3633941783402486E-5</v>
      </c>
      <c r="E1251" s="4">
        <f t="shared" si="711"/>
        <v>3.3633941783402486E-5</v>
      </c>
      <c r="F1251" s="4">
        <f t="shared" si="711"/>
        <v>3.3633941783402486E-5</v>
      </c>
      <c r="G1251" s="4">
        <f t="shared" si="711"/>
        <v>3.3633941783402486E-5</v>
      </c>
      <c r="H1251" s="4">
        <f t="shared" si="711"/>
        <v>3.3633941783402486E-5</v>
      </c>
      <c r="I1251" s="4">
        <f t="shared" si="711"/>
        <v>3.3633941783402486E-5</v>
      </c>
      <c r="J1251" s="4">
        <f t="shared" si="711"/>
        <v>3.3633941783402486E-5</v>
      </c>
      <c r="K1251" s="4">
        <f t="shared" si="711"/>
        <v>3.3633941783402486E-5</v>
      </c>
      <c r="L1251" s="4">
        <f t="shared" si="711"/>
        <v>3.3633941783402486E-5</v>
      </c>
      <c r="M1251" s="4">
        <f t="shared" si="711"/>
        <v>3.3633941783402486E-5</v>
      </c>
      <c r="N1251" t="s">
        <v>256</v>
      </c>
      <c r="O1251" t="s">
        <v>356</v>
      </c>
      <c r="P1251" t="s">
        <v>351</v>
      </c>
      <c r="Q1251" s="4" t="s">
        <v>245</v>
      </c>
    </row>
    <row r="1252" spans="1:17" x14ac:dyDescent="0.25">
      <c r="A1252" t="s">
        <v>565</v>
      </c>
      <c r="B1252" t="s">
        <v>148</v>
      </c>
      <c r="C1252" s="4">
        <f t="shared" ref="C1252:M1252" si="712">(0.0822572721273277/(0.0328453630665826+0.350336698877979+0.0822572721273277+0.0181224344560457+0.178561789731549)) * 0.00635669208599676%</f>
        <v>7.8970781846512894E-6</v>
      </c>
      <c r="D1252" s="4">
        <f t="shared" si="712"/>
        <v>7.8970781846512894E-6</v>
      </c>
      <c r="E1252" s="4">
        <f t="shared" si="712"/>
        <v>7.8970781846512894E-6</v>
      </c>
      <c r="F1252" s="4">
        <f t="shared" si="712"/>
        <v>7.8970781846512894E-6</v>
      </c>
      <c r="G1252" s="4">
        <f t="shared" si="712"/>
        <v>7.8970781846512894E-6</v>
      </c>
      <c r="H1252" s="4">
        <f t="shared" si="712"/>
        <v>7.8970781846512894E-6</v>
      </c>
      <c r="I1252" s="4">
        <f t="shared" si="712"/>
        <v>7.8970781846512894E-6</v>
      </c>
      <c r="J1252" s="4">
        <f t="shared" si="712"/>
        <v>7.8970781846512894E-6</v>
      </c>
      <c r="K1252" s="4">
        <f t="shared" si="712"/>
        <v>7.8970781846512894E-6</v>
      </c>
      <c r="L1252" s="4">
        <f t="shared" si="712"/>
        <v>7.8970781846512894E-6</v>
      </c>
      <c r="M1252" s="4">
        <f t="shared" si="712"/>
        <v>7.8970781846512894E-6</v>
      </c>
      <c r="N1252" t="s">
        <v>256</v>
      </c>
      <c r="O1252" t="s">
        <v>353</v>
      </c>
      <c r="P1252" t="s">
        <v>351</v>
      </c>
      <c r="Q1252" s="4" t="s">
        <v>245</v>
      </c>
    </row>
    <row r="1253" spans="1:17" x14ac:dyDescent="0.25">
      <c r="A1253" t="s">
        <v>565</v>
      </c>
      <c r="B1253" t="s">
        <v>148</v>
      </c>
      <c r="C1253" s="4">
        <f t="shared" ref="C1253:M1253" si="713">(0.0181224344560457/(0.0328453630665826+0.350336698877979+0.0822572721273277+0.0181224344560457+0.178561789731549)) * 0.00635669208599676%</f>
        <v>1.7398374404403037E-6</v>
      </c>
      <c r="D1253" s="4">
        <f t="shared" si="713"/>
        <v>1.7398374404403037E-6</v>
      </c>
      <c r="E1253" s="4">
        <f t="shared" si="713"/>
        <v>1.7398374404403037E-6</v>
      </c>
      <c r="F1253" s="4">
        <f t="shared" si="713"/>
        <v>1.7398374404403037E-6</v>
      </c>
      <c r="G1253" s="4">
        <f t="shared" si="713"/>
        <v>1.7398374404403037E-6</v>
      </c>
      <c r="H1253" s="4">
        <f t="shared" si="713"/>
        <v>1.7398374404403037E-6</v>
      </c>
      <c r="I1253" s="4">
        <f t="shared" si="713"/>
        <v>1.7398374404403037E-6</v>
      </c>
      <c r="J1253" s="4">
        <f t="shared" si="713"/>
        <v>1.7398374404403037E-6</v>
      </c>
      <c r="K1253" s="4">
        <f t="shared" si="713"/>
        <v>1.7398374404403037E-6</v>
      </c>
      <c r="L1253" s="4">
        <f t="shared" si="713"/>
        <v>1.7398374404403037E-6</v>
      </c>
      <c r="M1253" s="4">
        <f t="shared" si="713"/>
        <v>1.7398374404403037E-6</v>
      </c>
      <c r="N1253" t="s">
        <v>256</v>
      </c>
      <c r="O1253" t="s">
        <v>280</v>
      </c>
      <c r="P1253" t="s">
        <v>351</v>
      </c>
      <c r="Q1253" s="4" t="s">
        <v>245</v>
      </c>
    </row>
    <row r="1254" spans="1:17" x14ac:dyDescent="0.25">
      <c r="A1254" t="s">
        <v>565</v>
      </c>
      <c r="B1254" t="s">
        <v>148</v>
      </c>
      <c r="C1254" s="4">
        <f t="shared" ref="C1254:M1254" si="714">(0.178561789731549/(0.0328453630665826+0.350336698877979+0.0822572721273277+0.0181224344560457+0.178561789731549)) * 0.00635669208599676%</f>
        <v>1.7142756838794245E-5</v>
      </c>
      <c r="D1254" s="4">
        <f t="shared" si="714"/>
        <v>1.7142756838794245E-5</v>
      </c>
      <c r="E1254" s="4">
        <f t="shared" si="714"/>
        <v>1.7142756838794245E-5</v>
      </c>
      <c r="F1254" s="4">
        <f t="shared" si="714"/>
        <v>1.7142756838794245E-5</v>
      </c>
      <c r="G1254" s="4">
        <f t="shared" si="714"/>
        <v>1.7142756838794245E-5</v>
      </c>
      <c r="H1254" s="4">
        <f t="shared" si="714"/>
        <v>1.7142756838794245E-5</v>
      </c>
      <c r="I1254" s="4">
        <f t="shared" si="714"/>
        <v>1.7142756838794245E-5</v>
      </c>
      <c r="J1254" s="4">
        <f t="shared" si="714"/>
        <v>1.7142756838794245E-5</v>
      </c>
      <c r="K1254" s="4">
        <f t="shared" si="714"/>
        <v>1.7142756838794245E-5</v>
      </c>
      <c r="L1254" s="4">
        <f t="shared" si="714"/>
        <v>1.7142756838794245E-5</v>
      </c>
      <c r="M1254" s="4">
        <f t="shared" si="714"/>
        <v>1.7142756838794245E-5</v>
      </c>
      <c r="N1254" t="s">
        <v>256</v>
      </c>
      <c r="O1254" t="s">
        <v>354</v>
      </c>
      <c r="P1254" t="s">
        <v>351</v>
      </c>
      <c r="Q1254" s="4" t="s">
        <v>245</v>
      </c>
    </row>
    <row r="1255" spans="1:17" x14ac:dyDescent="0.25">
      <c r="A1255" t="s">
        <v>565</v>
      </c>
      <c r="B1255" t="s">
        <v>149</v>
      </c>
      <c r="C1255" s="4">
        <f t="shared" ref="C1255:M1255" si="715">(0.0328453630665826/(0.0328453630665826+0.350336698877979+0.0822572721273277+0.0181224344560457+0.178561789731549)) * 0.301550857969486%</f>
        <v>1.4958760022197687E-4</v>
      </c>
      <c r="D1255" s="4">
        <f t="shared" si="715"/>
        <v>1.4958760022197687E-4</v>
      </c>
      <c r="E1255" s="4">
        <f t="shared" si="715"/>
        <v>1.4958760022197687E-4</v>
      </c>
      <c r="F1255" s="4">
        <f t="shared" si="715"/>
        <v>1.4958760022197687E-4</v>
      </c>
      <c r="G1255" s="4">
        <f t="shared" si="715"/>
        <v>1.4958760022197687E-4</v>
      </c>
      <c r="H1255" s="4">
        <f t="shared" si="715"/>
        <v>1.4958760022197687E-4</v>
      </c>
      <c r="I1255" s="4">
        <f t="shared" si="715"/>
        <v>1.4958760022197687E-4</v>
      </c>
      <c r="J1255" s="4">
        <f t="shared" si="715"/>
        <v>1.4958760022197687E-4</v>
      </c>
      <c r="K1255" s="4">
        <f t="shared" si="715"/>
        <v>1.4958760022197687E-4</v>
      </c>
      <c r="L1255" s="4">
        <f t="shared" si="715"/>
        <v>1.4958760022197687E-4</v>
      </c>
      <c r="M1255" s="4">
        <f t="shared" si="715"/>
        <v>1.4958760022197687E-4</v>
      </c>
      <c r="N1255" t="s">
        <v>242</v>
      </c>
      <c r="O1255" t="s">
        <v>358</v>
      </c>
      <c r="P1255" t="s">
        <v>351</v>
      </c>
      <c r="Q1255" s="4" t="s">
        <v>245</v>
      </c>
    </row>
    <row r="1256" spans="1:17" x14ac:dyDescent="0.25">
      <c r="A1256" t="s">
        <v>565</v>
      </c>
      <c r="B1256" t="s">
        <v>149</v>
      </c>
      <c r="C1256" s="4">
        <f t="shared" ref="C1256:M1256" si="716">(0.350336698877979/(0.0328453630665826+0.350336698877979+0.0822572721273277+0.0181224344560457+0.178561789731549)) * 0.301550857969486%</f>
        <v>1.5955380352657741E-3</v>
      </c>
      <c r="D1256" s="4">
        <f t="shared" si="716"/>
        <v>1.5955380352657741E-3</v>
      </c>
      <c r="E1256" s="4">
        <f t="shared" si="716"/>
        <v>1.5955380352657741E-3</v>
      </c>
      <c r="F1256" s="4">
        <f t="shared" si="716"/>
        <v>1.5955380352657741E-3</v>
      </c>
      <c r="G1256" s="4">
        <f t="shared" si="716"/>
        <v>1.5955380352657741E-3</v>
      </c>
      <c r="H1256" s="4">
        <f t="shared" si="716"/>
        <v>1.5955380352657741E-3</v>
      </c>
      <c r="I1256" s="4">
        <f t="shared" si="716"/>
        <v>1.5955380352657741E-3</v>
      </c>
      <c r="J1256" s="4">
        <f t="shared" si="716"/>
        <v>1.5955380352657741E-3</v>
      </c>
      <c r="K1256" s="4">
        <f t="shared" si="716"/>
        <v>1.5955380352657741E-3</v>
      </c>
      <c r="L1256" s="4">
        <f t="shared" si="716"/>
        <v>1.5955380352657741E-3</v>
      </c>
      <c r="M1256" s="4">
        <f t="shared" si="716"/>
        <v>1.5955380352657741E-3</v>
      </c>
      <c r="N1256" t="s">
        <v>256</v>
      </c>
      <c r="O1256" t="s">
        <v>356</v>
      </c>
      <c r="P1256" t="s">
        <v>351</v>
      </c>
      <c r="Q1256" s="4" t="s">
        <v>245</v>
      </c>
    </row>
    <row r="1257" spans="1:17" x14ac:dyDescent="0.25">
      <c r="A1257" t="s">
        <v>565</v>
      </c>
      <c r="B1257" t="s">
        <v>149</v>
      </c>
      <c r="C1257" s="4">
        <f t="shared" ref="C1257:M1257" si="717">(0.0822572721273277/(0.0328453630665826+0.350336698877979+0.0822572721273277+0.0181224344560457+0.178561789731549)) * 0.301550857969486%</f>
        <v>3.7462420230793619E-4</v>
      </c>
      <c r="D1257" s="4">
        <f t="shared" si="717"/>
        <v>3.7462420230793619E-4</v>
      </c>
      <c r="E1257" s="4">
        <f t="shared" si="717"/>
        <v>3.7462420230793619E-4</v>
      </c>
      <c r="F1257" s="4">
        <f t="shared" si="717"/>
        <v>3.7462420230793619E-4</v>
      </c>
      <c r="G1257" s="4">
        <f t="shared" si="717"/>
        <v>3.7462420230793619E-4</v>
      </c>
      <c r="H1257" s="4">
        <f t="shared" si="717"/>
        <v>3.7462420230793619E-4</v>
      </c>
      <c r="I1257" s="4">
        <f t="shared" si="717"/>
        <v>3.7462420230793619E-4</v>
      </c>
      <c r="J1257" s="4">
        <f t="shared" si="717"/>
        <v>3.7462420230793619E-4</v>
      </c>
      <c r="K1257" s="4">
        <f t="shared" si="717"/>
        <v>3.7462420230793619E-4</v>
      </c>
      <c r="L1257" s="4">
        <f t="shared" si="717"/>
        <v>3.7462420230793619E-4</v>
      </c>
      <c r="M1257" s="4">
        <f t="shared" si="717"/>
        <v>3.7462420230793619E-4</v>
      </c>
      <c r="N1257" t="s">
        <v>256</v>
      </c>
      <c r="O1257" t="s">
        <v>353</v>
      </c>
      <c r="P1257" t="s">
        <v>351</v>
      </c>
      <c r="Q1257" s="4" t="s">
        <v>245</v>
      </c>
    </row>
    <row r="1258" spans="1:17" x14ac:dyDescent="0.25">
      <c r="A1258" t="s">
        <v>565</v>
      </c>
      <c r="B1258" t="s">
        <v>149</v>
      </c>
      <c r="C1258" s="4">
        <f t="shared" ref="C1258:M1258" si="718">(0.0181224344560457/(0.0328453630665826+0.350336698877979+0.0822572721273277+0.0181224344560457+0.178561789731549)) * 0.301550857969486%</f>
        <v>8.2534982943088475E-5</v>
      </c>
      <c r="D1258" s="4">
        <f t="shared" si="718"/>
        <v>8.2534982943088475E-5</v>
      </c>
      <c r="E1258" s="4">
        <f t="shared" si="718"/>
        <v>8.2534982943088475E-5</v>
      </c>
      <c r="F1258" s="4">
        <f t="shared" si="718"/>
        <v>8.2534982943088475E-5</v>
      </c>
      <c r="G1258" s="4">
        <f t="shared" si="718"/>
        <v>8.2534982943088475E-5</v>
      </c>
      <c r="H1258" s="4">
        <f t="shared" si="718"/>
        <v>8.2534982943088475E-5</v>
      </c>
      <c r="I1258" s="4">
        <f t="shared" si="718"/>
        <v>8.2534982943088475E-5</v>
      </c>
      <c r="J1258" s="4">
        <f t="shared" si="718"/>
        <v>8.2534982943088475E-5</v>
      </c>
      <c r="K1258" s="4">
        <f t="shared" si="718"/>
        <v>8.2534982943088475E-5</v>
      </c>
      <c r="L1258" s="4">
        <f t="shared" si="718"/>
        <v>8.2534982943088475E-5</v>
      </c>
      <c r="M1258" s="4">
        <f t="shared" si="718"/>
        <v>8.2534982943088475E-5</v>
      </c>
      <c r="N1258" t="s">
        <v>256</v>
      </c>
      <c r="O1258" t="s">
        <v>280</v>
      </c>
      <c r="P1258" t="s">
        <v>351</v>
      </c>
      <c r="Q1258" s="4" t="s">
        <v>245</v>
      </c>
    </row>
    <row r="1259" spans="1:17" x14ac:dyDescent="0.25">
      <c r="A1259" t="s">
        <v>565</v>
      </c>
      <c r="B1259" t="s">
        <v>149</v>
      </c>
      <c r="C1259" s="4">
        <f t="shared" ref="C1259:M1259" si="719">(0.178561789731549/(0.0328453630665826+0.350336698877979+0.0822572721273277+0.0181224344560457+0.178561789731549)) * 0.301550857969486%</f>
        <v>8.1322375895608446E-4</v>
      </c>
      <c r="D1259" s="4">
        <f t="shared" si="719"/>
        <v>8.1322375895608446E-4</v>
      </c>
      <c r="E1259" s="4">
        <f t="shared" si="719"/>
        <v>8.1322375895608446E-4</v>
      </c>
      <c r="F1259" s="4">
        <f t="shared" si="719"/>
        <v>8.1322375895608446E-4</v>
      </c>
      <c r="G1259" s="4">
        <f t="shared" si="719"/>
        <v>8.1322375895608446E-4</v>
      </c>
      <c r="H1259" s="4">
        <f t="shared" si="719"/>
        <v>8.1322375895608446E-4</v>
      </c>
      <c r="I1259" s="4">
        <f t="shared" si="719"/>
        <v>8.1322375895608446E-4</v>
      </c>
      <c r="J1259" s="4">
        <f t="shared" si="719"/>
        <v>8.1322375895608446E-4</v>
      </c>
      <c r="K1259" s="4">
        <f t="shared" si="719"/>
        <v>8.1322375895608446E-4</v>
      </c>
      <c r="L1259" s="4">
        <f t="shared" si="719"/>
        <v>8.1322375895608446E-4</v>
      </c>
      <c r="M1259" s="4">
        <f t="shared" si="719"/>
        <v>8.1322375895608446E-4</v>
      </c>
      <c r="N1259" t="s">
        <v>256</v>
      </c>
      <c r="O1259" t="s">
        <v>354</v>
      </c>
      <c r="P1259" t="s">
        <v>351</v>
      </c>
      <c r="Q1259" s="4" t="s">
        <v>245</v>
      </c>
    </row>
    <row r="1260" spans="1:17" x14ac:dyDescent="0.25">
      <c r="A1260" t="s">
        <v>565</v>
      </c>
      <c r="B1260" t="s">
        <v>170</v>
      </c>
      <c r="C1260" s="4">
        <f t="shared" ref="C1260:M1260" si="720">(0.0328453630665826/(0.0328453630665826+0.350336698877979+0.0822572721273277+0.0181224344560457+0.178561789731549)) * 0.604307919370849%</f>
        <v>2.9977355084484123E-4</v>
      </c>
      <c r="D1260" s="4">
        <f t="shared" si="720"/>
        <v>2.9977355084484123E-4</v>
      </c>
      <c r="E1260" s="4">
        <f t="shared" si="720"/>
        <v>2.9977355084484123E-4</v>
      </c>
      <c r="F1260" s="4">
        <f t="shared" si="720"/>
        <v>2.9977355084484123E-4</v>
      </c>
      <c r="G1260" s="4">
        <f t="shared" si="720"/>
        <v>2.9977355084484123E-4</v>
      </c>
      <c r="H1260" s="4">
        <f t="shared" si="720"/>
        <v>2.9977355084484123E-4</v>
      </c>
      <c r="I1260" s="4">
        <f t="shared" si="720"/>
        <v>2.9977355084484123E-4</v>
      </c>
      <c r="J1260" s="4">
        <f t="shared" si="720"/>
        <v>2.9977355084484123E-4</v>
      </c>
      <c r="K1260" s="4">
        <f t="shared" si="720"/>
        <v>2.9977355084484123E-4</v>
      </c>
      <c r="L1260" s="4">
        <f t="shared" si="720"/>
        <v>2.9977355084484123E-4</v>
      </c>
      <c r="M1260" s="4">
        <f t="shared" si="720"/>
        <v>2.9977355084484123E-4</v>
      </c>
      <c r="N1260" t="s">
        <v>242</v>
      </c>
      <c r="O1260" t="s">
        <v>358</v>
      </c>
      <c r="P1260" t="s">
        <v>351</v>
      </c>
      <c r="Q1260" s="4" t="s">
        <v>245</v>
      </c>
    </row>
    <row r="1261" spans="1:17" x14ac:dyDescent="0.25">
      <c r="A1261" t="s">
        <v>565</v>
      </c>
      <c r="B1261" t="s">
        <v>170</v>
      </c>
      <c r="C1261" s="4">
        <f t="shared" ref="C1261:M1261" si="721">(0.350336698877979/(0.0328453630665826+0.350336698877979+0.0822572721273277+0.0181224344560457+0.178561789731549)) * 0.604307919370849%</f>
        <v>3.1974582226726063E-3</v>
      </c>
      <c r="D1261" s="4">
        <f t="shared" si="721"/>
        <v>3.1974582226726063E-3</v>
      </c>
      <c r="E1261" s="4">
        <f t="shared" si="721"/>
        <v>3.1974582226726063E-3</v>
      </c>
      <c r="F1261" s="4">
        <f t="shared" si="721"/>
        <v>3.1974582226726063E-3</v>
      </c>
      <c r="G1261" s="4">
        <f t="shared" si="721"/>
        <v>3.1974582226726063E-3</v>
      </c>
      <c r="H1261" s="4">
        <f t="shared" si="721"/>
        <v>3.1974582226726063E-3</v>
      </c>
      <c r="I1261" s="4">
        <f t="shared" si="721"/>
        <v>3.1974582226726063E-3</v>
      </c>
      <c r="J1261" s="4">
        <f t="shared" si="721"/>
        <v>3.1974582226726063E-3</v>
      </c>
      <c r="K1261" s="4">
        <f t="shared" si="721"/>
        <v>3.1974582226726063E-3</v>
      </c>
      <c r="L1261" s="4">
        <f t="shared" si="721"/>
        <v>3.1974582226726063E-3</v>
      </c>
      <c r="M1261" s="4">
        <f t="shared" si="721"/>
        <v>3.1974582226726063E-3</v>
      </c>
      <c r="N1261" t="s">
        <v>256</v>
      </c>
      <c r="O1261" t="s">
        <v>356</v>
      </c>
      <c r="P1261" t="s">
        <v>351</v>
      </c>
      <c r="Q1261" s="4" t="s">
        <v>245</v>
      </c>
    </row>
    <row r="1262" spans="1:17" x14ac:dyDescent="0.25">
      <c r="A1262" t="s">
        <v>565</v>
      </c>
      <c r="B1262" t="s">
        <v>170</v>
      </c>
      <c r="C1262" s="4">
        <f t="shared" ref="C1262:M1262" si="722">(0.0822572721273277/(0.0328453630665826+0.350336698877979+0.0822572721273277+0.0181224344560457+0.178561789731549)) * 0.604307919370849%</f>
        <v>7.5074690142510302E-4</v>
      </c>
      <c r="D1262" s="4">
        <f t="shared" si="722"/>
        <v>7.5074690142510302E-4</v>
      </c>
      <c r="E1262" s="4">
        <f t="shared" si="722"/>
        <v>7.5074690142510302E-4</v>
      </c>
      <c r="F1262" s="4">
        <f t="shared" si="722"/>
        <v>7.5074690142510302E-4</v>
      </c>
      <c r="G1262" s="4">
        <f t="shared" si="722"/>
        <v>7.5074690142510302E-4</v>
      </c>
      <c r="H1262" s="4">
        <f t="shared" si="722"/>
        <v>7.5074690142510302E-4</v>
      </c>
      <c r="I1262" s="4">
        <f t="shared" si="722"/>
        <v>7.5074690142510302E-4</v>
      </c>
      <c r="J1262" s="4">
        <f t="shared" si="722"/>
        <v>7.5074690142510302E-4</v>
      </c>
      <c r="K1262" s="4">
        <f t="shared" si="722"/>
        <v>7.5074690142510302E-4</v>
      </c>
      <c r="L1262" s="4">
        <f t="shared" si="722"/>
        <v>7.5074690142510302E-4</v>
      </c>
      <c r="M1262" s="4">
        <f t="shared" si="722"/>
        <v>7.5074690142510302E-4</v>
      </c>
      <c r="N1262" t="s">
        <v>256</v>
      </c>
      <c r="O1262" t="s">
        <v>353</v>
      </c>
      <c r="P1262" t="s">
        <v>351</v>
      </c>
      <c r="Q1262" s="4" t="s">
        <v>245</v>
      </c>
    </row>
    <row r="1263" spans="1:17" x14ac:dyDescent="0.25">
      <c r="A1263" t="s">
        <v>565</v>
      </c>
      <c r="B1263" t="s">
        <v>170</v>
      </c>
      <c r="C1263" s="4">
        <f t="shared" ref="C1263:M1263" si="723">(0.0181224344560457/(0.0328453630665826+0.350336698877979+0.0822572721273277+0.0181224344560457+0.178561789731549)) * 0.604307919370849%</f>
        <v>1.6540010581794906E-4</v>
      </c>
      <c r="D1263" s="4">
        <f t="shared" si="723"/>
        <v>1.6540010581794906E-4</v>
      </c>
      <c r="E1263" s="4">
        <f t="shared" si="723"/>
        <v>1.6540010581794906E-4</v>
      </c>
      <c r="F1263" s="4">
        <f t="shared" si="723"/>
        <v>1.6540010581794906E-4</v>
      </c>
      <c r="G1263" s="4">
        <f t="shared" si="723"/>
        <v>1.6540010581794906E-4</v>
      </c>
      <c r="H1263" s="4">
        <f t="shared" si="723"/>
        <v>1.6540010581794906E-4</v>
      </c>
      <c r="I1263" s="4">
        <f t="shared" si="723"/>
        <v>1.6540010581794906E-4</v>
      </c>
      <c r="J1263" s="4">
        <f t="shared" si="723"/>
        <v>1.6540010581794906E-4</v>
      </c>
      <c r="K1263" s="4">
        <f t="shared" si="723"/>
        <v>1.6540010581794906E-4</v>
      </c>
      <c r="L1263" s="4">
        <f t="shared" si="723"/>
        <v>1.6540010581794906E-4</v>
      </c>
      <c r="M1263" s="4">
        <f t="shared" si="723"/>
        <v>1.6540010581794906E-4</v>
      </c>
      <c r="N1263" t="s">
        <v>256</v>
      </c>
      <c r="O1263" t="s">
        <v>280</v>
      </c>
      <c r="P1263" t="s">
        <v>351</v>
      </c>
      <c r="Q1263" s="4" t="s">
        <v>245</v>
      </c>
    </row>
    <row r="1264" spans="1:17" x14ac:dyDescent="0.25">
      <c r="A1264" t="s">
        <v>565</v>
      </c>
      <c r="B1264" t="s">
        <v>170</v>
      </c>
      <c r="C1264" s="4">
        <f t="shared" ref="C1264:M1264" si="724">(0.178561789731549/(0.0328453630665826+0.350336698877979+0.0822572721273277+0.0181224344560457+0.178561789731549)) * 0.604307919370849%</f>
        <v>1.6297004129479907E-3</v>
      </c>
      <c r="D1264" s="4">
        <f t="shared" si="724"/>
        <v>1.6297004129479907E-3</v>
      </c>
      <c r="E1264" s="4">
        <f t="shared" si="724"/>
        <v>1.6297004129479907E-3</v>
      </c>
      <c r="F1264" s="4">
        <f t="shared" si="724"/>
        <v>1.6297004129479907E-3</v>
      </c>
      <c r="G1264" s="4">
        <f t="shared" si="724"/>
        <v>1.6297004129479907E-3</v>
      </c>
      <c r="H1264" s="4">
        <f t="shared" si="724"/>
        <v>1.6297004129479907E-3</v>
      </c>
      <c r="I1264" s="4">
        <f t="shared" si="724"/>
        <v>1.6297004129479907E-3</v>
      </c>
      <c r="J1264" s="4">
        <f t="shared" si="724"/>
        <v>1.6297004129479907E-3</v>
      </c>
      <c r="K1264" s="4">
        <f t="shared" si="724"/>
        <v>1.6297004129479907E-3</v>
      </c>
      <c r="L1264" s="4">
        <f t="shared" si="724"/>
        <v>1.6297004129479907E-3</v>
      </c>
      <c r="M1264" s="4">
        <f t="shared" si="724"/>
        <v>1.6297004129479907E-3</v>
      </c>
      <c r="N1264" t="s">
        <v>256</v>
      </c>
      <c r="O1264" t="s">
        <v>354</v>
      </c>
      <c r="P1264" t="s">
        <v>351</v>
      </c>
      <c r="Q1264" s="4" t="s">
        <v>245</v>
      </c>
    </row>
    <row r="1265" spans="1:17" x14ac:dyDescent="0.25">
      <c r="A1265" t="s">
        <v>565</v>
      </c>
      <c r="B1265" t="s">
        <v>171</v>
      </c>
      <c r="C1265" s="4">
        <f t="shared" ref="C1265:M1265" si="725">(0.0328453630665826/(0.0328453630665826+0.350336698877979+0.0822572721273277+0.0181224344560457+0.178561789731549)) * 0.143284905672781%</f>
        <v>7.1078044121474553E-5</v>
      </c>
      <c r="D1265" s="4">
        <f t="shared" si="725"/>
        <v>7.1078044121474553E-5</v>
      </c>
      <c r="E1265" s="4">
        <f t="shared" si="725"/>
        <v>7.1078044121474553E-5</v>
      </c>
      <c r="F1265" s="4">
        <f t="shared" si="725"/>
        <v>7.1078044121474553E-5</v>
      </c>
      <c r="G1265" s="4">
        <f t="shared" si="725"/>
        <v>7.1078044121474553E-5</v>
      </c>
      <c r="H1265" s="4">
        <f t="shared" si="725"/>
        <v>7.1078044121474553E-5</v>
      </c>
      <c r="I1265" s="4">
        <f t="shared" si="725"/>
        <v>7.1078044121474553E-5</v>
      </c>
      <c r="J1265" s="4">
        <f t="shared" si="725"/>
        <v>7.1078044121474553E-5</v>
      </c>
      <c r="K1265" s="4">
        <f t="shared" si="725"/>
        <v>7.1078044121474553E-5</v>
      </c>
      <c r="L1265" s="4">
        <f t="shared" si="725"/>
        <v>7.1078044121474553E-5</v>
      </c>
      <c r="M1265" s="4">
        <f t="shared" si="725"/>
        <v>7.1078044121474553E-5</v>
      </c>
      <c r="N1265" t="s">
        <v>242</v>
      </c>
      <c r="O1265" t="s">
        <v>358</v>
      </c>
      <c r="P1265" t="s">
        <v>351</v>
      </c>
      <c r="Q1265" s="4" t="s">
        <v>245</v>
      </c>
    </row>
    <row r="1266" spans="1:17" x14ac:dyDescent="0.25">
      <c r="A1266" t="s">
        <v>565</v>
      </c>
      <c r="B1266" t="s">
        <v>171</v>
      </c>
      <c r="C1266" s="4">
        <f t="shared" ref="C1266:M1266" si="726">(0.350336698877979/(0.0328453630665826+0.350336698877979+0.0822572721273277+0.0181224344560457+0.178561789731549)) * 0.143284905672781%</f>
        <v>7.5813585283688526E-4</v>
      </c>
      <c r="D1266" s="4">
        <f t="shared" si="726"/>
        <v>7.5813585283688526E-4</v>
      </c>
      <c r="E1266" s="4">
        <f t="shared" si="726"/>
        <v>7.5813585283688526E-4</v>
      </c>
      <c r="F1266" s="4">
        <f t="shared" si="726"/>
        <v>7.5813585283688526E-4</v>
      </c>
      <c r="G1266" s="4">
        <f t="shared" si="726"/>
        <v>7.5813585283688526E-4</v>
      </c>
      <c r="H1266" s="4">
        <f t="shared" si="726"/>
        <v>7.5813585283688526E-4</v>
      </c>
      <c r="I1266" s="4">
        <f t="shared" si="726"/>
        <v>7.5813585283688526E-4</v>
      </c>
      <c r="J1266" s="4">
        <f t="shared" si="726"/>
        <v>7.5813585283688526E-4</v>
      </c>
      <c r="K1266" s="4">
        <f t="shared" si="726"/>
        <v>7.5813585283688526E-4</v>
      </c>
      <c r="L1266" s="4">
        <f t="shared" si="726"/>
        <v>7.5813585283688526E-4</v>
      </c>
      <c r="M1266" s="4">
        <f t="shared" si="726"/>
        <v>7.5813585283688526E-4</v>
      </c>
      <c r="N1266" t="s">
        <v>256</v>
      </c>
      <c r="O1266" t="s">
        <v>356</v>
      </c>
      <c r="P1266" t="s">
        <v>351</v>
      </c>
      <c r="Q1266" s="4" t="s">
        <v>245</v>
      </c>
    </row>
    <row r="1267" spans="1:17" x14ac:dyDescent="0.25">
      <c r="A1267" t="s">
        <v>565</v>
      </c>
      <c r="B1267" t="s">
        <v>171</v>
      </c>
      <c r="C1267" s="4">
        <f t="shared" ref="C1267:M1267" si="727">(0.0822572721273277/(0.0328453630665826+0.350336698877979+0.0822572721273277+0.0181224344560457+0.178561789731549)) * 0.143284905672781%</f>
        <v>1.7800643596863901E-4</v>
      </c>
      <c r="D1267" s="4">
        <f t="shared" si="727"/>
        <v>1.7800643596863901E-4</v>
      </c>
      <c r="E1267" s="4">
        <f t="shared" si="727"/>
        <v>1.7800643596863901E-4</v>
      </c>
      <c r="F1267" s="4">
        <f t="shared" si="727"/>
        <v>1.7800643596863901E-4</v>
      </c>
      <c r="G1267" s="4">
        <f t="shared" si="727"/>
        <v>1.7800643596863901E-4</v>
      </c>
      <c r="H1267" s="4">
        <f t="shared" si="727"/>
        <v>1.7800643596863901E-4</v>
      </c>
      <c r="I1267" s="4">
        <f t="shared" si="727"/>
        <v>1.7800643596863901E-4</v>
      </c>
      <c r="J1267" s="4">
        <f t="shared" si="727"/>
        <v>1.7800643596863901E-4</v>
      </c>
      <c r="K1267" s="4">
        <f t="shared" si="727"/>
        <v>1.7800643596863901E-4</v>
      </c>
      <c r="L1267" s="4">
        <f t="shared" si="727"/>
        <v>1.7800643596863901E-4</v>
      </c>
      <c r="M1267" s="4">
        <f t="shared" si="727"/>
        <v>1.7800643596863901E-4</v>
      </c>
      <c r="N1267" t="s">
        <v>256</v>
      </c>
      <c r="O1267" t="s">
        <v>353</v>
      </c>
      <c r="P1267" t="s">
        <v>351</v>
      </c>
      <c r="Q1267" s="4" t="s">
        <v>245</v>
      </c>
    </row>
    <row r="1268" spans="1:17" x14ac:dyDescent="0.25">
      <c r="A1268" t="s">
        <v>565</v>
      </c>
      <c r="B1268" t="s">
        <v>171</v>
      </c>
      <c r="C1268" s="4">
        <f t="shared" ref="C1268:M1268" si="728">(0.0181224344560457/(0.0328453630665826+0.350336698877979+0.0822572721273277+0.0181224344560457+0.178561789731549)) * 0.143284905672781%</f>
        <v>3.9217322495237926E-5</v>
      </c>
      <c r="D1268" s="4">
        <f t="shared" si="728"/>
        <v>3.9217322495237926E-5</v>
      </c>
      <c r="E1268" s="4">
        <f t="shared" si="728"/>
        <v>3.9217322495237926E-5</v>
      </c>
      <c r="F1268" s="4">
        <f t="shared" si="728"/>
        <v>3.9217322495237926E-5</v>
      </c>
      <c r="G1268" s="4">
        <f t="shared" si="728"/>
        <v>3.9217322495237926E-5</v>
      </c>
      <c r="H1268" s="4">
        <f t="shared" si="728"/>
        <v>3.9217322495237926E-5</v>
      </c>
      <c r="I1268" s="4">
        <f t="shared" si="728"/>
        <v>3.9217322495237926E-5</v>
      </c>
      <c r="J1268" s="4">
        <f t="shared" si="728"/>
        <v>3.9217322495237926E-5</v>
      </c>
      <c r="K1268" s="4">
        <f t="shared" si="728"/>
        <v>3.9217322495237926E-5</v>
      </c>
      <c r="L1268" s="4">
        <f t="shared" si="728"/>
        <v>3.9217322495237926E-5</v>
      </c>
      <c r="M1268" s="4">
        <f t="shared" si="728"/>
        <v>3.9217322495237926E-5</v>
      </c>
      <c r="N1268" t="s">
        <v>256</v>
      </c>
      <c r="O1268" t="s">
        <v>280</v>
      </c>
      <c r="P1268" t="s">
        <v>351</v>
      </c>
      <c r="Q1268" s="4" t="s">
        <v>245</v>
      </c>
    </row>
    <row r="1269" spans="1:17" x14ac:dyDescent="0.25">
      <c r="A1269" t="s">
        <v>565</v>
      </c>
      <c r="B1269" t="s">
        <v>171</v>
      </c>
      <c r="C1269" s="4">
        <f t="shared" ref="C1269:M1269" si="729">(0.178561789731549/(0.0328453630665826+0.350336698877979+0.0822572721273277+0.0181224344560457+0.178561789731549)) * 0.143284905672781%</f>
        <v>3.8641140130557316E-4</v>
      </c>
      <c r="D1269" s="4">
        <f t="shared" si="729"/>
        <v>3.8641140130557316E-4</v>
      </c>
      <c r="E1269" s="4">
        <f t="shared" si="729"/>
        <v>3.8641140130557316E-4</v>
      </c>
      <c r="F1269" s="4">
        <f t="shared" si="729"/>
        <v>3.8641140130557316E-4</v>
      </c>
      <c r="G1269" s="4">
        <f t="shared" si="729"/>
        <v>3.8641140130557316E-4</v>
      </c>
      <c r="H1269" s="4">
        <f t="shared" si="729"/>
        <v>3.8641140130557316E-4</v>
      </c>
      <c r="I1269" s="4">
        <f t="shared" si="729"/>
        <v>3.8641140130557316E-4</v>
      </c>
      <c r="J1269" s="4">
        <f t="shared" si="729"/>
        <v>3.8641140130557316E-4</v>
      </c>
      <c r="K1269" s="4">
        <f t="shared" si="729"/>
        <v>3.8641140130557316E-4</v>
      </c>
      <c r="L1269" s="4">
        <f t="shared" si="729"/>
        <v>3.8641140130557316E-4</v>
      </c>
      <c r="M1269" s="4">
        <f t="shared" si="729"/>
        <v>3.8641140130557316E-4</v>
      </c>
      <c r="N1269" t="s">
        <v>256</v>
      </c>
      <c r="O1269" t="s">
        <v>354</v>
      </c>
      <c r="P1269" t="s">
        <v>351</v>
      </c>
      <c r="Q1269" s="4" t="s">
        <v>245</v>
      </c>
    </row>
    <row r="1270" spans="1:17" x14ac:dyDescent="0.25">
      <c r="A1270" t="s">
        <v>565</v>
      </c>
      <c r="B1270" t="s">
        <v>199</v>
      </c>
      <c r="C1270" s="4">
        <f t="shared" ref="C1270:M1270" si="730">(0.0328453630665826/(0.0328453630665826+0.350336698877979+0.0822572721273277+0.0181224344560457+0.178561789731549)) * 0.185055730518714%</f>
        <v>9.179891850422269E-5</v>
      </c>
      <c r="D1270" s="4">
        <f t="shared" si="730"/>
        <v>9.179891850422269E-5</v>
      </c>
      <c r="E1270" s="4">
        <f t="shared" si="730"/>
        <v>9.179891850422269E-5</v>
      </c>
      <c r="F1270" s="4">
        <f t="shared" si="730"/>
        <v>9.179891850422269E-5</v>
      </c>
      <c r="G1270" s="4">
        <f t="shared" si="730"/>
        <v>9.179891850422269E-5</v>
      </c>
      <c r="H1270" s="4">
        <f t="shared" si="730"/>
        <v>9.179891850422269E-5</v>
      </c>
      <c r="I1270" s="4">
        <f t="shared" si="730"/>
        <v>9.179891850422269E-5</v>
      </c>
      <c r="J1270" s="4">
        <f t="shared" si="730"/>
        <v>9.179891850422269E-5</v>
      </c>
      <c r="K1270" s="4">
        <f t="shared" si="730"/>
        <v>9.179891850422269E-5</v>
      </c>
      <c r="L1270" s="4">
        <f t="shared" si="730"/>
        <v>9.179891850422269E-5</v>
      </c>
      <c r="M1270" s="4">
        <f t="shared" si="730"/>
        <v>9.179891850422269E-5</v>
      </c>
      <c r="N1270" t="s">
        <v>242</v>
      </c>
      <c r="O1270" t="s">
        <v>358</v>
      </c>
      <c r="P1270" t="s">
        <v>351</v>
      </c>
      <c r="Q1270" s="4" t="s">
        <v>245</v>
      </c>
    </row>
    <row r="1271" spans="1:17" x14ac:dyDescent="0.25">
      <c r="A1271" t="s">
        <v>565</v>
      </c>
      <c r="B1271" t="s">
        <v>199</v>
      </c>
      <c r="C1271" s="4">
        <f t="shared" ref="C1271:M1271" si="731">(0.350336698877979/(0.0328453630665826+0.350336698877979+0.0822572721273277+0.0181224344560457+0.178561789731549)) * 0.185055730518714%</f>
        <v>9.7914978148189928E-4</v>
      </c>
      <c r="D1271" s="4">
        <f t="shared" si="731"/>
        <v>9.7914978148189928E-4</v>
      </c>
      <c r="E1271" s="4">
        <f t="shared" si="731"/>
        <v>9.7914978148189928E-4</v>
      </c>
      <c r="F1271" s="4">
        <f t="shared" si="731"/>
        <v>9.7914978148189928E-4</v>
      </c>
      <c r="G1271" s="4">
        <f t="shared" si="731"/>
        <v>9.7914978148189928E-4</v>
      </c>
      <c r="H1271" s="4">
        <f t="shared" si="731"/>
        <v>9.7914978148189928E-4</v>
      </c>
      <c r="I1271" s="4">
        <f t="shared" si="731"/>
        <v>9.7914978148189928E-4</v>
      </c>
      <c r="J1271" s="4">
        <f t="shared" si="731"/>
        <v>9.7914978148189928E-4</v>
      </c>
      <c r="K1271" s="4">
        <f t="shared" si="731"/>
        <v>9.7914978148189928E-4</v>
      </c>
      <c r="L1271" s="4">
        <f t="shared" si="731"/>
        <v>9.7914978148189928E-4</v>
      </c>
      <c r="M1271" s="4">
        <f t="shared" si="731"/>
        <v>9.7914978148189928E-4</v>
      </c>
      <c r="N1271" t="s">
        <v>256</v>
      </c>
      <c r="O1271" t="s">
        <v>356</v>
      </c>
      <c r="P1271" t="s">
        <v>351</v>
      </c>
      <c r="Q1271" s="4" t="s">
        <v>245</v>
      </c>
    </row>
    <row r="1272" spans="1:17" x14ac:dyDescent="0.25">
      <c r="A1272" t="s">
        <v>565</v>
      </c>
      <c r="B1272" t="s">
        <v>199</v>
      </c>
      <c r="C1272" s="4">
        <f t="shared" ref="C1272:M1272" si="732">(0.0822572721273277/(0.0328453630665826+0.350336698877979+0.0822572721273277+0.0181224344560457+0.178561789731549)) * 0.185055730518714%</f>
        <v>2.2989938047233407E-4</v>
      </c>
      <c r="D1272" s="4">
        <f t="shared" si="732"/>
        <v>2.2989938047233407E-4</v>
      </c>
      <c r="E1272" s="4">
        <f t="shared" si="732"/>
        <v>2.2989938047233407E-4</v>
      </c>
      <c r="F1272" s="4">
        <f t="shared" si="732"/>
        <v>2.2989938047233407E-4</v>
      </c>
      <c r="G1272" s="4">
        <f t="shared" si="732"/>
        <v>2.2989938047233407E-4</v>
      </c>
      <c r="H1272" s="4">
        <f t="shared" si="732"/>
        <v>2.2989938047233407E-4</v>
      </c>
      <c r="I1272" s="4">
        <f t="shared" si="732"/>
        <v>2.2989938047233407E-4</v>
      </c>
      <c r="J1272" s="4">
        <f t="shared" si="732"/>
        <v>2.2989938047233407E-4</v>
      </c>
      <c r="K1272" s="4">
        <f t="shared" si="732"/>
        <v>2.2989938047233407E-4</v>
      </c>
      <c r="L1272" s="4">
        <f t="shared" si="732"/>
        <v>2.2989938047233407E-4</v>
      </c>
      <c r="M1272" s="4">
        <f t="shared" si="732"/>
        <v>2.2989938047233407E-4</v>
      </c>
      <c r="N1272" t="s">
        <v>256</v>
      </c>
      <c r="O1272" t="s">
        <v>353</v>
      </c>
      <c r="P1272" t="s">
        <v>351</v>
      </c>
      <c r="Q1272" s="4" t="s">
        <v>245</v>
      </c>
    </row>
    <row r="1273" spans="1:17" x14ac:dyDescent="0.25">
      <c r="A1273" t="s">
        <v>565</v>
      </c>
      <c r="B1273" t="s">
        <v>199</v>
      </c>
      <c r="C1273" s="4">
        <f t="shared" ref="C1273:M1273" si="733">(0.0181224344560457/(0.0328453630665826+0.350336698877979+0.0822572721273277+0.0181224344560457+0.178561789731549)) * 0.185055730518714%</f>
        <v>5.065006833251449E-5</v>
      </c>
      <c r="D1273" s="4">
        <f t="shared" si="733"/>
        <v>5.065006833251449E-5</v>
      </c>
      <c r="E1273" s="4">
        <f t="shared" si="733"/>
        <v>5.065006833251449E-5</v>
      </c>
      <c r="F1273" s="4">
        <f t="shared" si="733"/>
        <v>5.065006833251449E-5</v>
      </c>
      <c r="G1273" s="4">
        <f t="shared" si="733"/>
        <v>5.065006833251449E-5</v>
      </c>
      <c r="H1273" s="4">
        <f t="shared" si="733"/>
        <v>5.065006833251449E-5</v>
      </c>
      <c r="I1273" s="4">
        <f t="shared" si="733"/>
        <v>5.065006833251449E-5</v>
      </c>
      <c r="J1273" s="4">
        <f t="shared" si="733"/>
        <v>5.065006833251449E-5</v>
      </c>
      <c r="K1273" s="4">
        <f t="shared" si="733"/>
        <v>5.065006833251449E-5</v>
      </c>
      <c r="L1273" s="4">
        <f t="shared" si="733"/>
        <v>5.065006833251449E-5</v>
      </c>
      <c r="M1273" s="4">
        <f t="shared" si="733"/>
        <v>5.065006833251449E-5</v>
      </c>
      <c r="N1273" t="s">
        <v>256</v>
      </c>
      <c r="O1273" t="s">
        <v>280</v>
      </c>
      <c r="P1273" t="s">
        <v>351</v>
      </c>
      <c r="Q1273" s="4" t="s">
        <v>245</v>
      </c>
    </row>
    <row r="1274" spans="1:17" x14ac:dyDescent="0.25">
      <c r="A1274" t="s">
        <v>565</v>
      </c>
      <c r="B1274" t="s">
        <v>199</v>
      </c>
      <c r="C1274" s="4">
        <f t="shared" ref="C1274:M1274" si="734">(0.178561789731549/(0.0328453630665826+0.350336698877979+0.0822572721273277+0.0181224344560457+0.178561789731549)) * 0.185055730518714%</f>
        <v>4.990591563961695E-4</v>
      </c>
      <c r="D1274" s="4">
        <f t="shared" si="734"/>
        <v>4.990591563961695E-4</v>
      </c>
      <c r="E1274" s="4">
        <f t="shared" si="734"/>
        <v>4.990591563961695E-4</v>
      </c>
      <c r="F1274" s="4">
        <f t="shared" si="734"/>
        <v>4.990591563961695E-4</v>
      </c>
      <c r="G1274" s="4">
        <f t="shared" si="734"/>
        <v>4.990591563961695E-4</v>
      </c>
      <c r="H1274" s="4">
        <f t="shared" si="734"/>
        <v>4.990591563961695E-4</v>
      </c>
      <c r="I1274" s="4">
        <f t="shared" si="734"/>
        <v>4.990591563961695E-4</v>
      </c>
      <c r="J1274" s="4">
        <f t="shared" si="734"/>
        <v>4.990591563961695E-4</v>
      </c>
      <c r="K1274" s="4">
        <f t="shared" si="734"/>
        <v>4.990591563961695E-4</v>
      </c>
      <c r="L1274" s="4">
        <f t="shared" si="734"/>
        <v>4.990591563961695E-4</v>
      </c>
      <c r="M1274" s="4">
        <f t="shared" si="734"/>
        <v>4.990591563961695E-4</v>
      </c>
      <c r="N1274" t="s">
        <v>256</v>
      </c>
      <c r="O1274" t="s">
        <v>354</v>
      </c>
      <c r="P1274" t="s">
        <v>351</v>
      </c>
      <c r="Q1274" s="4" t="s">
        <v>245</v>
      </c>
    </row>
    <row r="1275" spans="1:17" x14ac:dyDescent="0.25">
      <c r="A1275" t="s">
        <v>565</v>
      </c>
      <c r="B1275" t="s">
        <v>141</v>
      </c>
      <c r="C1275" s="4">
        <f t="shared" ref="C1275:M1275" si="735">(0.0328453630665826/(0.0328453630665826+0.350336698877979+0.0822572721273277+0.0181224344560457+0.178561789731549)) * 0.0568905848645232%</f>
        <v>2.8221196657878143E-5</v>
      </c>
      <c r="D1275" s="4">
        <f t="shared" si="735"/>
        <v>2.8221196657878143E-5</v>
      </c>
      <c r="E1275" s="4">
        <f t="shared" si="735"/>
        <v>2.8221196657878143E-5</v>
      </c>
      <c r="F1275" s="4">
        <f t="shared" si="735"/>
        <v>2.8221196657878143E-5</v>
      </c>
      <c r="G1275" s="4">
        <f t="shared" si="735"/>
        <v>2.8221196657878143E-5</v>
      </c>
      <c r="H1275" s="4">
        <f t="shared" si="735"/>
        <v>2.8221196657878143E-5</v>
      </c>
      <c r="I1275" s="4">
        <f t="shared" si="735"/>
        <v>2.8221196657878143E-5</v>
      </c>
      <c r="J1275" s="4">
        <f t="shared" si="735"/>
        <v>2.8221196657878143E-5</v>
      </c>
      <c r="K1275" s="4">
        <f t="shared" si="735"/>
        <v>2.8221196657878143E-5</v>
      </c>
      <c r="L1275" s="4">
        <f t="shared" si="735"/>
        <v>2.8221196657878143E-5</v>
      </c>
      <c r="M1275" s="4">
        <f t="shared" si="735"/>
        <v>2.8221196657878143E-5</v>
      </c>
      <c r="N1275" t="s">
        <v>242</v>
      </c>
      <c r="O1275" t="s">
        <v>358</v>
      </c>
      <c r="P1275" t="s">
        <v>351</v>
      </c>
      <c r="Q1275" s="4" t="s">
        <v>245</v>
      </c>
    </row>
    <row r="1276" spans="1:17" x14ac:dyDescent="0.25">
      <c r="A1276" t="s">
        <v>565</v>
      </c>
      <c r="B1276" t="s">
        <v>141</v>
      </c>
      <c r="C1276" s="4">
        <f t="shared" ref="C1276:M1276" si="736">(0.350336698877979/(0.0328453630665826+0.350336698877979+0.0822572721273277+0.0181224344560457+0.178561789731549)) * 0.0568905848645232%</f>
        <v>3.0101420573324077E-4</v>
      </c>
      <c r="D1276" s="4">
        <f t="shared" si="736"/>
        <v>3.0101420573324077E-4</v>
      </c>
      <c r="E1276" s="4">
        <f t="shared" si="736"/>
        <v>3.0101420573324077E-4</v>
      </c>
      <c r="F1276" s="4">
        <f t="shared" si="736"/>
        <v>3.0101420573324077E-4</v>
      </c>
      <c r="G1276" s="4">
        <f t="shared" si="736"/>
        <v>3.0101420573324077E-4</v>
      </c>
      <c r="H1276" s="4">
        <f t="shared" si="736"/>
        <v>3.0101420573324077E-4</v>
      </c>
      <c r="I1276" s="4">
        <f t="shared" si="736"/>
        <v>3.0101420573324077E-4</v>
      </c>
      <c r="J1276" s="4">
        <f t="shared" si="736"/>
        <v>3.0101420573324077E-4</v>
      </c>
      <c r="K1276" s="4">
        <f t="shared" si="736"/>
        <v>3.0101420573324077E-4</v>
      </c>
      <c r="L1276" s="4">
        <f t="shared" si="736"/>
        <v>3.0101420573324077E-4</v>
      </c>
      <c r="M1276" s="4">
        <f t="shared" si="736"/>
        <v>3.0101420573324077E-4</v>
      </c>
      <c r="N1276" t="s">
        <v>256</v>
      </c>
      <c r="O1276" t="s">
        <v>356</v>
      </c>
      <c r="P1276" t="s">
        <v>351</v>
      </c>
      <c r="Q1276" s="4" t="s">
        <v>245</v>
      </c>
    </row>
    <row r="1277" spans="1:17" x14ac:dyDescent="0.25">
      <c r="A1277" t="s">
        <v>565</v>
      </c>
      <c r="B1277" t="s">
        <v>141</v>
      </c>
      <c r="C1277" s="4">
        <f t="shared" ref="C1277:M1277" si="737">(0.0822572721273277/(0.0328453630665826+0.350336698877979+0.0822572721273277+0.0181224344560457+0.178561789731549)) * 0.0568905848645232%</f>
        <v>7.0676602007415203E-5</v>
      </c>
      <c r="D1277" s="4">
        <f t="shared" si="737"/>
        <v>7.0676602007415203E-5</v>
      </c>
      <c r="E1277" s="4">
        <f t="shared" si="737"/>
        <v>7.0676602007415203E-5</v>
      </c>
      <c r="F1277" s="4">
        <f t="shared" si="737"/>
        <v>7.0676602007415203E-5</v>
      </c>
      <c r="G1277" s="4">
        <f t="shared" si="737"/>
        <v>7.0676602007415203E-5</v>
      </c>
      <c r="H1277" s="4">
        <f t="shared" si="737"/>
        <v>7.0676602007415203E-5</v>
      </c>
      <c r="I1277" s="4">
        <f t="shared" si="737"/>
        <v>7.0676602007415203E-5</v>
      </c>
      <c r="J1277" s="4">
        <f t="shared" si="737"/>
        <v>7.0676602007415203E-5</v>
      </c>
      <c r="K1277" s="4">
        <f t="shared" si="737"/>
        <v>7.0676602007415203E-5</v>
      </c>
      <c r="L1277" s="4">
        <f t="shared" si="737"/>
        <v>7.0676602007415203E-5</v>
      </c>
      <c r="M1277" s="4">
        <f t="shared" si="737"/>
        <v>7.0676602007415203E-5</v>
      </c>
      <c r="N1277" t="s">
        <v>256</v>
      </c>
      <c r="O1277" t="s">
        <v>353</v>
      </c>
      <c r="P1277" t="s">
        <v>351</v>
      </c>
      <c r="Q1277" s="4" t="s">
        <v>245</v>
      </c>
    </row>
    <row r="1278" spans="1:17" x14ac:dyDescent="0.25">
      <c r="A1278" t="s">
        <v>565</v>
      </c>
      <c r="B1278" t="s">
        <v>141</v>
      </c>
      <c r="C1278" s="4">
        <f t="shared" ref="C1278:M1278" si="738">(0.0181224344560457/(0.0328453630665826+0.350336698877979+0.0822572721273277+0.0181224344560457+0.178561789731549)) * 0.0568905848645232%</f>
        <v>1.5571049882043063E-5</v>
      </c>
      <c r="D1278" s="4">
        <f t="shared" si="738"/>
        <v>1.5571049882043063E-5</v>
      </c>
      <c r="E1278" s="4">
        <f t="shared" si="738"/>
        <v>1.5571049882043063E-5</v>
      </c>
      <c r="F1278" s="4">
        <f t="shared" si="738"/>
        <v>1.5571049882043063E-5</v>
      </c>
      <c r="G1278" s="4">
        <f t="shared" si="738"/>
        <v>1.5571049882043063E-5</v>
      </c>
      <c r="H1278" s="4">
        <f t="shared" si="738"/>
        <v>1.5571049882043063E-5</v>
      </c>
      <c r="I1278" s="4">
        <f t="shared" si="738"/>
        <v>1.5571049882043063E-5</v>
      </c>
      <c r="J1278" s="4">
        <f t="shared" si="738"/>
        <v>1.5571049882043063E-5</v>
      </c>
      <c r="K1278" s="4">
        <f t="shared" si="738"/>
        <v>1.5571049882043063E-5</v>
      </c>
      <c r="L1278" s="4">
        <f t="shared" si="738"/>
        <v>1.5571049882043063E-5</v>
      </c>
      <c r="M1278" s="4">
        <f t="shared" si="738"/>
        <v>1.5571049882043063E-5</v>
      </c>
      <c r="N1278" t="s">
        <v>256</v>
      </c>
      <c r="O1278" t="s">
        <v>280</v>
      </c>
      <c r="P1278" t="s">
        <v>351</v>
      </c>
      <c r="Q1278" s="4" t="s">
        <v>245</v>
      </c>
    </row>
    <row r="1279" spans="1:17" x14ac:dyDescent="0.25">
      <c r="A1279" t="s">
        <v>565</v>
      </c>
      <c r="B1279" t="s">
        <v>141</v>
      </c>
      <c r="C1279" s="4">
        <f t="shared" ref="C1279:M1279" si="739">(0.178561789731549/(0.0328453630665826+0.350336698877979+0.0822572721273277+0.0181224344560457+0.178561789731549)) * 0.0568905848645232%</f>
        <v>1.5342279436465482E-4</v>
      </c>
      <c r="D1279" s="4">
        <f t="shared" si="739"/>
        <v>1.5342279436465482E-4</v>
      </c>
      <c r="E1279" s="4">
        <f t="shared" si="739"/>
        <v>1.5342279436465482E-4</v>
      </c>
      <c r="F1279" s="4">
        <f t="shared" si="739"/>
        <v>1.5342279436465482E-4</v>
      </c>
      <c r="G1279" s="4">
        <f t="shared" si="739"/>
        <v>1.5342279436465482E-4</v>
      </c>
      <c r="H1279" s="4">
        <f t="shared" si="739"/>
        <v>1.5342279436465482E-4</v>
      </c>
      <c r="I1279" s="4">
        <f t="shared" si="739"/>
        <v>1.5342279436465482E-4</v>
      </c>
      <c r="J1279" s="4">
        <f t="shared" si="739"/>
        <v>1.5342279436465482E-4</v>
      </c>
      <c r="K1279" s="4">
        <f t="shared" si="739"/>
        <v>1.5342279436465482E-4</v>
      </c>
      <c r="L1279" s="4">
        <f t="shared" si="739"/>
        <v>1.5342279436465482E-4</v>
      </c>
      <c r="M1279" s="4">
        <f t="shared" si="739"/>
        <v>1.5342279436465482E-4</v>
      </c>
      <c r="N1279" t="s">
        <v>256</v>
      </c>
      <c r="O1279" t="s">
        <v>354</v>
      </c>
      <c r="P1279" t="s">
        <v>351</v>
      </c>
      <c r="Q1279" s="4" t="s">
        <v>245</v>
      </c>
    </row>
    <row r="1280" spans="1:17" x14ac:dyDescent="0.25">
      <c r="A1280" t="s">
        <v>565</v>
      </c>
      <c r="B1280" t="s">
        <v>103</v>
      </c>
      <c r="C1280" s="4">
        <f t="shared" ref="C1280:M1280" si="740">(0.0328453630665826/(0.0328453630665826+0.350336698877979+0.0822572721273277+0.0181224344560457+0.178561789731549)) * 0.0708644516228291%</f>
        <v>3.515308605216452E-5</v>
      </c>
      <c r="D1280" s="4">
        <f t="shared" si="740"/>
        <v>3.515308605216452E-5</v>
      </c>
      <c r="E1280" s="4">
        <f t="shared" si="740"/>
        <v>3.515308605216452E-5</v>
      </c>
      <c r="F1280" s="4">
        <f t="shared" si="740"/>
        <v>3.515308605216452E-5</v>
      </c>
      <c r="G1280" s="4">
        <f t="shared" si="740"/>
        <v>3.515308605216452E-5</v>
      </c>
      <c r="H1280" s="4">
        <f t="shared" si="740"/>
        <v>3.515308605216452E-5</v>
      </c>
      <c r="I1280" s="4">
        <f t="shared" si="740"/>
        <v>3.515308605216452E-5</v>
      </c>
      <c r="J1280" s="4">
        <f t="shared" si="740"/>
        <v>3.515308605216452E-5</v>
      </c>
      <c r="K1280" s="4">
        <f t="shared" si="740"/>
        <v>3.515308605216452E-5</v>
      </c>
      <c r="L1280" s="4">
        <f t="shared" si="740"/>
        <v>3.515308605216452E-5</v>
      </c>
      <c r="M1280" s="4">
        <f t="shared" si="740"/>
        <v>3.515308605216452E-5</v>
      </c>
      <c r="N1280" t="s">
        <v>242</v>
      </c>
      <c r="O1280" t="s">
        <v>358</v>
      </c>
      <c r="P1280" t="s">
        <v>351</v>
      </c>
      <c r="Q1280" s="4" t="s">
        <v>245</v>
      </c>
    </row>
    <row r="1281" spans="1:17" x14ac:dyDescent="0.25">
      <c r="A1281" t="s">
        <v>565</v>
      </c>
      <c r="B1281" t="s">
        <v>103</v>
      </c>
      <c r="C1281" s="4">
        <f t="shared" ref="C1281:M1281" si="741">(0.350336698877979/(0.0328453630665826+0.350336698877979+0.0822572721273277+0.0181224344560457+0.178561789731549)) * 0.0708644516228291%</f>
        <v>3.7495143828745634E-4</v>
      </c>
      <c r="D1281" s="4">
        <f t="shared" si="741"/>
        <v>3.7495143828745634E-4</v>
      </c>
      <c r="E1281" s="4">
        <f t="shared" si="741"/>
        <v>3.7495143828745634E-4</v>
      </c>
      <c r="F1281" s="4">
        <f t="shared" si="741"/>
        <v>3.7495143828745634E-4</v>
      </c>
      <c r="G1281" s="4">
        <f t="shared" si="741"/>
        <v>3.7495143828745634E-4</v>
      </c>
      <c r="H1281" s="4">
        <f t="shared" si="741"/>
        <v>3.7495143828745634E-4</v>
      </c>
      <c r="I1281" s="4">
        <f t="shared" si="741"/>
        <v>3.7495143828745634E-4</v>
      </c>
      <c r="J1281" s="4">
        <f t="shared" si="741"/>
        <v>3.7495143828745634E-4</v>
      </c>
      <c r="K1281" s="4">
        <f t="shared" si="741"/>
        <v>3.7495143828745634E-4</v>
      </c>
      <c r="L1281" s="4">
        <f t="shared" si="741"/>
        <v>3.7495143828745634E-4</v>
      </c>
      <c r="M1281" s="4">
        <f t="shared" si="741"/>
        <v>3.7495143828745634E-4</v>
      </c>
      <c r="N1281" t="s">
        <v>256</v>
      </c>
      <c r="O1281" t="s">
        <v>356</v>
      </c>
      <c r="P1281" t="s">
        <v>351</v>
      </c>
      <c r="Q1281" s="4" t="s">
        <v>245</v>
      </c>
    </row>
    <row r="1282" spans="1:17" x14ac:dyDescent="0.25">
      <c r="A1282" t="s">
        <v>565</v>
      </c>
      <c r="B1282" t="s">
        <v>103</v>
      </c>
      <c r="C1282" s="4">
        <f t="shared" ref="C1282:M1282" si="742">(0.0822572721273277/(0.0328453630665826+0.350336698877979+0.0822572721273277+0.0181224344560457+0.178561789731549)) * 0.0708644516228291%</f>
        <v>8.8036687542364888E-5</v>
      </c>
      <c r="D1282" s="4">
        <f t="shared" si="742"/>
        <v>8.8036687542364888E-5</v>
      </c>
      <c r="E1282" s="4">
        <f t="shared" si="742"/>
        <v>8.8036687542364888E-5</v>
      </c>
      <c r="F1282" s="4">
        <f t="shared" si="742"/>
        <v>8.8036687542364888E-5</v>
      </c>
      <c r="G1282" s="4">
        <f t="shared" si="742"/>
        <v>8.8036687542364888E-5</v>
      </c>
      <c r="H1282" s="4">
        <f t="shared" si="742"/>
        <v>8.8036687542364888E-5</v>
      </c>
      <c r="I1282" s="4">
        <f t="shared" si="742"/>
        <v>8.8036687542364888E-5</v>
      </c>
      <c r="J1282" s="4">
        <f t="shared" si="742"/>
        <v>8.8036687542364888E-5</v>
      </c>
      <c r="K1282" s="4">
        <f t="shared" si="742"/>
        <v>8.8036687542364888E-5</v>
      </c>
      <c r="L1282" s="4">
        <f t="shared" si="742"/>
        <v>8.8036687542364888E-5</v>
      </c>
      <c r="M1282" s="4">
        <f t="shared" si="742"/>
        <v>8.8036687542364888E-5</v>
      </c>
      <c r="N1282" t="s">
        <v>256</v>
      </c>
      <c r="O1282" t="s">
        <v>353</v>
      </c>
      <c r="P1282" t="s">
        <v>351</v>
      </c>
      <c r="Q1282" s="4" t="s">
        <v>245</v>
      </c>
    </row>
    <row r="1283" spans="1:17" x14ac:dyDescent="0.25">
      <c r="A1283" t="s">
        <v>565</v>
      </c>
      <c r="B1283" t="s">
        <v>103</v>
      </c>
      <c r="C1283" s="4">
        <f t="shared" ref="C1283:M1283" si="743">(0.0181224344560457/(0.0328453630665826+0.350336698877979+0.0822572721273277+0.0181224344560457+0.178561789731549)) * 0.0708644516228291%</f>
        <v>1.9395720991625763E-5</v>
      </c>
      <c r="D1283" s="4">
        <f t="shared" si="743"/>
        <v>1.9395720991625763E-5</v>
      </c>
      <c r="E1283" s="4">
        <f t="shared" si="743"/>
        <v>1.9395720991625763E-5</v>
      </c>
      <c r="F1283" s="4">
        <f t="shared" si="743"/>
        <v>1.9395720991625763E-5</v>
      </c>
      <c r="G1283" s="4">
        <f t="shared" si="743"/>
        <v>1.9395720991625763E-5</v>
      </c>
      <c r="H1283" s="4">
        <f t="shared" si="743"/>
        <v>1.9395720991625763E-5</v>
      </c>
      <c r="I1283" s="4">
        <f t="shared" si="743"/>
        <v>1.9395720991625763E-5</v>
      </c>
      <c r="J1283" s="4">
        <f t="shared" si="743"/>
        <v>1.9395720991625763E-5</v>
      </c>
      <c r="K1283" s="4">
        <f t="shared" si="743"/>
        <v>1.9395720991625763E-5</v>
      </c>
      <c r="L1283" s="4">
        <f t="shared" si="743"/>
        <v>1.9395720991625763E-5</v>
      </c>
      <c r="M1283" s="4">
        <f t="shared" si="743"/>
        <v>1.9395720991625763E-5</v>
      </c>
      <c r="N1283" t="s">
        <v>256</v>
      </c>
      <c r="O1283" t="s">
        <v>280</v>
      </c>
      <c r="P1283" t="s">
        <v>351</v>
      </c>
      <c r="Q1283" s="4" t="s">
        <v>245</v>
      </c>
    </row>
    <row r="1284" spans="1:17" x14ac:dyDescent="0.25">
      <c r="A1284" t="s">
        <v>565</v>
      </c>
      <c r="B1284" t="s">
        <v>103</v>
      </c>
      <c r="C1284" s="4">
        <f t="shared" ref="C1284:M1284" si="744">(0.178561789731549/(0.0328453630665826+0.350336698877979+0.0822572721273277+0.0181224344560457+0.178561789731549)) * 0.0708644516228291%</f>
        <v>1.9110758335467957E-4</v>
      </c>
      <c r="D1284" s="4">
        <f t="shared" si="744"/>
        <v>1.9110758335467957E-4</v>
      </c>
      <c r="E1284" s="4">
        <f t="shared" si="744"/>
        <v>1.9110758335467957E-4</v>
      </c>
      <c r="F1284" s="4">
        <f t="shared" si="744"/>
        <v>1.9110758335467957E-4</v>
      </c>
      <c r="G1284" s="4">
        <f t="shared" si="744"/>
        <v>1.9110758335467957E-4</v>
      </c>
      <c r="H1284" s="4">
        <f t="shared" si="744"/>
        <v>1.9110758335467957E-4</v>
      </c>
      <c r="I1284" s="4">
        <f t="shared" si="744"/>
        <v>1.9110758335467957E-4</v>
      </c>
      <c r="J1284" s="4">
        <f t="shared" si="744"/>
        <v>1.9110758335467957E-4</v>
      </c>
      <c r="K1284" s="4">
        <f t="shared" si="744"/>
        <v>1.9110758335467957E-4</v>
      </c>
      <c r="L1284" s="4">
        <f t="shared" si="744"/>
        <v>1.9110758335467957E-4</v>
      </c>
      <c r="M1284" s="4">
        <f t="shared" si="744"/>
        <v>1.9110758335467957E-4</v>
      </c>
      <c r="N1284" t="s">
        <v>256</v>
      </c>
      <c r="O1284" t="s">
        <v>354</v>
      </c>
      <c r="P1284" t="s">
        <v>351</v>
      </c>
      <c r="Q1284" s="4" t="s">
        <v>245</v>
      </c>
    </row>
    <row r="1285" spans="1:17" x14ac:dyDescent="0.25">
      <c r="A1285" t="s">
        <v>565</v>
      </c>
      <c r="B1285" t="s">
        <v>200</v>
      </c>
      <c r="C1285" s="4">
        <f t="shared" ref="C1285:M1285" si="745">(0.0328453630665826/(0.0328453630665826+0.350336698877979+0.0822572721273277+0.0181224344560457+0.178561789731549)) * 1.86901221769487%</f>
        <v>9.2714394617581062E-4</v>
      </c>
      <c r="D1285" s="4">
        <f t="shared" si="745"/>
        <v>9.2714394617581062E-4</v>
      </c>
      <c r="E1285" s="4">
        <f t="shared" si="745"/>
        <v>9.2714394617581062E-4</v>
      </c>
      <c r="F1285" s="4">
        <f t="shared" si="745"/>
        <v>9.2714394617581062E-4</v>
      </c>
      <c r="G1285" s="4">
        <f t="shared" si="745"/>
        <v>9.2714394617581062E-4</v>
      </c>
      <c r="H1285" s="4">
        <f t="shared" si="745"/>
        <v>9.2714394617581062E-4</v>
      </c>
      <c r="I1285" s="4">
        <f t="shared" si="745"/>
        <v>9.2714394617581062E-4</v>
      </c>
      <c r="J1285" s="4">
        <f t="shared" si="745"/>
        <v>9.2714394617581062E-4</v>
      </c>
      <c r="K1285" s="4">
        <f t="shared" si="745"/>
        <v>9.2714394617581062E-4</v>
      </c>
      <c r="L1285" s="4">
        <f t="shared" si="745"/>
        <v>9.2714394617581062E-4</v>
      </c>
      <c r="M1285" s="4">
        <f t="shared" si="745"/>
        <v>9.2714394617581062E-4</v>
      </c>
      <c r="N1285" t="s">
        <v>242</v>
      </c>
      <c r="O1285" t="s">
        <v>358</v>
      </c>
      <c r="P1285" t="s">
        <v>351</v>
      </c>
      <c r="Q1285" s="4" t="s">
        <v>245</v>
      </c>
    </row>
    <row r="1286" spans="1:17" x14ac:dyDescent="0.25">
      <c r="A1286" t="s">
        <v>565</v>
      </c>
      <c r="B1286" t="s">
        <v>200</v>
      </c>
      <c r="C1286" s="4">
        <f t="shared" ref="C1286:M1286" si="746">(0.350336698877979/(0.0328453630665826+0.350336698877979+0.0822572721273277+0.0181224344560457+0.178561789731549)) * 1.86901221769487%</f>
        <v>9.8891447425772452E-3</v>
      </c>
      <c r="D1286" s="4">
        <f t="shared" si="746"/>
        <v>9.8891447425772452E-3</v>
      </c>
      <c r="E1286" s="4">
        <f t="shared" si="746"/>
        <v>9.8891447425772452E-3</v>
      </c>
      <c r="F1286" s="4">
        <f t="shared" si="746"/>
        <v>9.8891447425772452E-3</v>
      </c>
      <c r="G1286" s="4">
        <f t="shared" si="746"/>
        <v>9.8891447425772452E-3</v>
      </c>
      <c r="H1286" s="4">
        <f t="shared" si="746"/>
        <v>9.8891447425772452E-3</v>
      </c>
      <c r="I1286" s="4">
        <f t="shared" si="746"/>
        <v>9.8891447425772452E-3</v>
      </c>
      <c r="J1286" s="4">
        <f t="shared" si="746"/>
        <v>9.8891447425772452E-3</v>
      </c>
      <c r="K1286" s="4">
        <f t="shared" si="746"/>
        <v>9.8891447425772452E-3</v>
      </c>
      <c r="L1286" s="4">
        <f t="shared" si="746"/>
        <v>9.8891447425772452E-3</v>
      </c>
      <c r="M1286" s="4">
        <f t="shared" si="746"/>
        <v>9.8891447425772452E-3</v>
      </c>
      <c r="N1286" t="s">
        <v>256</v>
      </c>
      <c r="O1286" t="s">
        <v>356</v>
      </c>
      <c r="P1286" t="s">
        <v>351</v>
      </c>
      <c r="Q1286" s="4" t="s">
        <v>245</v>
      </c>
    </row>
    <row r="1287" spans="1:17" x14ac:dyDescent="0.25">
      <c r="A1287" t="s">
        <v>565</v>
      </c>
      <c r="B1287" t="s">
        <v>200</v>
      </c>
      <c r="C1287" s="4">
        <f t="shared" ref="C1287:M1287" si="747">(0.0822572721273277/(0.0328453630665826+0.350336698877979+0.0822572721273277+0.0181224344560457+0.178561789731549)) * 1.86901221769487%</f>
        <v>2.3219208059045834E-3</v>
      </c>
      <c r="D1287" s="4">
        <f t="shared" si="747"/>
        <v>2.3219208059045834E-3</v>
      </c>
      <c r="E1287" s="4">
        <f t="shared" si="747"/>
        <v>2.3219208059045834E-3</v>
      </c>
      <c r="F1287" s="4">
        <f t="shared" si="747"/>
        <v>2.3219208059045834E-3</v>
      </c>
      <c r="G1287" s="4">
        <f t="shared" si="747"/>
        <v>2.3219208059045834E-3</v>
      </c>
      <c r="H1287" s="4">
        <f t="shared" si="747"/>
        <v>2.3219208059045834E-3</v>
      </c>
      <c r="I1287" s="4">
        <f t="shared" si="747"/>
        <v>2.3219208059045834E-3</v>
      </c>
      <c r="J1287" s="4">
        <f t="shared" si="747"/>
        <v>2.3219208059045834E-3</v>
      </c>
      <c r="K1287" s="4">
        <f t="shared" si="747"/>
        <v>2.3219208059045834E-3</v>
      </c>
      <c r="L1287" s="4">
        <f t="shared" si="747"/>
        <v>2.3219208059045834E-3</v>
      </c>
      <c r="M1287" s="4">
        <f t="shared" si="747"/>
        <v>2.3219208059045834E-3</v>
      </c>
      <c r="N1287" t="s">
        <v>256</v>
      </c>
      <c r="O1287" t="s">
        <v>353</v>
      </c>
      <c r="P1287" t="s">
        <v>351</v>
      </c>
      <c r="Q1287" s="4" t="s">
        <v>245</v>
      </c>
    </row>
    <row r="1288" spans="1:17" x14ac:dyDescent="0.25">
      <c r="A1288" t="s">
        <v>565</v>
      </c>
      <c r="B1288" t="s">
        <v>200</v>
      </c>
      <c r="C1288" s="4">
        <f t="shared" ref="C1288:M1288" si="748">(0.0181224344560457/(0.0328453630665826+0.350336698877979+0.0822572721273277+0.0181224344560457+0.178561789731549)) * 1.86901221769487%</f>
        <v>5.1155182428126126E-4</v>
      </c>
      <c r="D1288" s="4">
        <f t="shared" si="748"/>
        <v>5.1155182428126126E-4</v>
      </c>
      <c r="E1288" s="4">
        <f t="shared" si="748"/>
        <v>5.1155182428126126E-4</v>
      </c>
      <c r="F1288" s="4">
        <f t="shared" si="748"/>
        <v>5.1155182428126126E-4</v>
      </c>
      <c r="G1288" s="4">
        <f t="shared" si="748"/>
        <v>5.1155182428126126E-4</v>
      </c>
      <c r="H1288" s="4">
        <f t="shared" si="748"/>
        <v>5.1155182428126126E-4</v>
      </c>
      <c r="I1288" s="4">
        <f t="shared" si="748"/>
        <v>5.1155182428126126E-4</v>
      </c>
      <c r="J1288" s="4">
        <f t="shared" si="748"/>
        <v>5.1155182428126126E-4</v>
      </c>
      <c r="K1288" s="4">
        <f t="shared" si="748"/>
        <v>5.1155182428126126E-4</v>
      </c>
      <c r="L1288" s="4">
        <f t="shared" si="748"/>
        <v>5.1155182428126126E-4</v>
      </c>
      <c r="M1288" s="4">
        <f t="shared" si="748"/>
        <v>5.1155182428126126E-4</v>
      </c>
      <c r="N1288" t="s">
        <v>256</v>
      </c>
      <c r="O1288" t="s">
        <v>280</v>
      </c>
      <c r="P1288" t="s">
        <v>351</v>
      </c>
      <c r="Q1288" s="4" t="s">
        <v>245</v>
      </c>
    </row>
    <row r="1289" spans="1:17" x14ac:dyDescent="0.25">
      <c r="A1289" t="s">
        <v>565</v>
      </c>
      <c r="B1289" t="s">
        <v>200</v>
      </c>
      <c r="C1289" s="4">
        <f t="shared" ref="C1289:M1289" si="749">(0.178561789731549/(0.0328453630665826+0.350336698877979+0.0822572721273277+0.0181224344560457+0.178561789731549)) * 1.86901221769487%</f>
        <v>5.0403608580098002E-3</v>
      </c>
      <c r="D1289" s="4">
        <f t="shared" si="749"/>
        <v>5.0403608580098002E-3</v>
      </c>
      <c r="E1289" s="4">
        <f t="shared" si="749"/>
        <v>5.0403608580098002E-3</v>
      </c>
      <c r="F1289" s="4">
        <f t="shared" si="749"/>
        <v>5.0403608580098002E-3</v>
      </c>
      <c r="G1289" s="4">
        <f t="shared" si="749"/>
        <v>5.0403608580098002E-3</v>
      </c>
      <c r="H1289" s="4">
        <f t="shared" si="749"/>
        <v>5.0403608580098002E-3</v>
      </c>
      <c r="I1289" s="4">
        <f t="shared" si="749"/>
        <v>5.0403608580098002E-3</v>
      </c>
      <c r="J1289" s="4">
        <f t="shared" si="749"/>
        <v>5.0403608580098002E-3</v>
      </c>
      <c r="K1289" s="4">
        <f t="shared" si="749"/>
        <v>5.0403608580098002E-3</v>
      </c>
      <c r="L1289" s="4">
        <f t="shared" si="749"/>
        <v>5.0403608580098002E-3</v>
      </c>
      <c r="M1289" s="4">
        <f t="shared" si="749"/>
        <v>5.0403608580098002E-3</v>
      </c>
      <c r="N1289" t="s">
        <v>256</v>
      </c>
      <c r="O1289" t="s">
        <v>354</v>
      </c>
      <c r="P1289" t="s">
        <v>351</v>
      </c>
      <c r="Q1289" s="4" t="s">
        <v>245</v>
      </c>
    </row>
    <row r="1290" spans="1:17" x14ac:dyDescent="0.25">
      <c r="A1290" t="s">
        <v>565</v>
      </c>
      <c r="B1290" t="s">
        <v>172</v>
      </c>
      <c r="C1290" s="4">
        <f t="shared" ref="C1290:M1290" si="750">(0.0328453630665826/(0.0328453630665826+0.350336698877979+0.0822572721273277+0.0181224344560457+0.178561789731549)) * 0.315494569641995%</f>
        <v>1.5650453085624109E-4</v>
      </c>
      <c r="D1290" s="4">
        <f t="shared" si="750"/>
        <v>1.5650453085624109E-4</v>
      </c>
      <c r="E1290" s="4">
        <f t="shared" si="750"/>
        <v>1.5650453085624109E-4</v>
      </c>
      <c r="F1290" s="4">
        <f t="shared" si="750"/>
        <v>1.5650453085624109E-4</v>
      </c>
      <c r="G1290" s="4">
        <f t="shared" si="750"/>
        <v>1.5650453085624109E-4</v>
      </c>
      <c r="H1290" s="4">
        <f t="shared" si="750"/>
        <v>1.5650453085624109E-4</v>
      </c>
      <c r="I1290" s="4">
        <f t="shared" si="750"/>
        <v>1.5650453085624109E-4</v>
      </c>
      <c r="J1290" s="4">
        <f t="shared" si="750"/>
        <v>1.5650453085624109E-4</v>
      </c>
      <c r="K1290" s="4">
        <f t="shared" si="750"/>
        <v>1.5650453085624109E-4</v>
      </c>
      <c r="L1290" s="4">
        <f t="shared" si="750"/>
        <v>1.5650453085624109E-4</v>
      </c>
      <c r="M1290" s="4">
        <f t="shared" si="750"/>
        <v>1.5650453085624109E-4</v>
      </c>
      <c r="N1290" t="s">
        <v>242</v>
      </c>
      <c r="O1290" t="s">
        <v>358</v>
      </c>
      <c r="P1290" t="s">
        <v>351</v>
      </c>
      <c r="Q1290" s="4" t="s">
        <v>245</v>
      </c>
    </row>
    <row r="1291" spans="1:17" x14ac:dyDescent="0.25">
      <c r="A1291" t="s">
        <v>565</v>
      </c>
      <c r="B1291" t="s">
        <v>172</v>
      </c>
      <c r="C1291" s="4">
        <f t="shared" ref="C1291:M1291" si="751">(0.350336698877979/(0.0328453630665826+0.350336698877979+0.0822572721273277+0.0181224344560457+0.178561789731549)) * 0.315494569641995%</f>
        <v>1.6693157140164634E-3</v>
      </c>
      <c r="D1291" s="4">
        <f t="shared" si="751"/>
        <v>1.6693157140164634E-3</v>
      </c>
      <c r="E1291" s="4">
        <f t="shared" si="751"/>
        <v>1.6693157140164634E-3</v>
      </c>
      <c r="F1291" s="4">
        <f t="shared" si="751"/>
        <v>1.6693157140164634E-3</v>
      </c>
      <c r="G1291" s="4">
        <f t="shared" si="751"/>
        <v>1.6693157140164634E-3</v>
      </c>
      <c r="H1291" s="4">
        <f t="shared" si="751"/>
        <v>1.6693157140164634E-3</v>
      </c>
      <c r="I1291" s="4">
        <f t="shared" si="751"/>
        <v>1.6693157140164634E-3</v>
      </c>
      <c r="J1291" s="4">
        <f t="shared" si="751"/>
        <v>1.6693157140164634E-3</v>
      </c>
      <c r="K1291" s="4">
        <f t="shared" si="751"/>
        <v>1.6693157140164634E-3</v>
      </c>
      <c r="L1291" s="4">
        <f t="shared" si="751"/>
        <v>1.6693157140164634E-3</v>
      </c>
      <c r="M1291" s="4">
        <f t="shared" si="751"/>
        <v>1.6693157140164634E-3</v>
      </c>
      <c r="N1291" t="s">
        <v>256</v>
      </c>
      <c r="O1291" t="s">
        <v>356</v>
      </c>
      <c r="P1291" t="s">
        <v>351</v>
      </c>
      <c r="Q1291" s="4" t="s">
        <v>245</v>
      </c>
    </row>
    <row r="1292" spans="1:17" x14ac:dyDescent="0.25">
      <c r="A1292" t="s">
        <v>565</v>
      </c>
      <c r="B1292" t="s">
        <v>172</v>
      </c>
      <c r="C1292" s="4">
        <f t="shared" ref="C1292:M1292" si="752">(0.0822572721273277/(0.0328453630665826+0.350336698877979+0.0822572721273277+0.0181224344560457+0.178561789731549)) * 0.315494569641995%</f>
        <v>3.9194682542265514E-4</v>
      </c>
      <c r="D1292" s="4">
        <f t="shared" si="752"/>
        <v>3.9194682542265514E-4</v>
      </c>
      <c r="E1292" s="4">
        <f t="shared" si="752"/>
        <v>3.9194682542265514E-4</v>
      </c>
      <c r="F1292" s="4">
        <f t="shared" si="752"/>
        <v>3.9194682542265514E-4</v>
      </c>
      <c r="G1292" s="4">
        <f t="shared" si="752"/>
        <v>3.9194682542265514E-4</v>
      </c>
      <c r="H1292" s="4">
        <f t="shared" si="752"/>
        <v>3.9194682542265514E-4</v>
      </c>
      <c r="I1292" s="4">
        <f t="shared" si="752"/>
        <v>3.9194682542265514E-4</v>
      </c>
      <c r="J1292" s="4">
        <f t="shared" si="752"/>
        <v>3.9194682542265514E-4</v>
      </c>
      <c r="K1292" s="4">
        <f t="shared" si="752"/>
        <v>3.9194682542265514E-4</v>
      </c>
      <c r="L1292" s="4">
        <f t="shared" si="752"/>
        <v>3.9194682542265514E-4</v>
      </c>
      <c r="M1292" s="4">
        <f t="shared" si="752"/>
        <v>3.9194682542265514E-4</v>
      </c>
      <c r="N1292" t="s">
        <v>256</v>
      </c>
      <c r="O1292" t="s">
        <v>353</v>
      </c>
      <c r="P1292" t="s">
        <v>351</v>
      </c>
      <c r="Q1292" s="4" t="s">
        <v>245</v>
      </c>
    </row>
    <row r="1293" spans="1:17" x14ac:dyDescent="0.25">
      <c r="A1293" t="s">
        <v>565</v>
      </c>
      <c r="B1293" t="s">
        <v>172</v>
      </c>
      <c r="C1293" s="4">
        <f t="shared" ref="C1293:M1293" si="753">(0.0181224344560457/(0.0328453630665826+0.350336698877979+0.0822572721273277+0.0181224344560457+0.178561789731549)) * 0.315494569641995%</f>
        <v>8.6351400554376885E-5</v>
      </c>
      <c r="D1293" s="4">
        <f t="shared" si="753"/>
        <v>8.6351400554376885E-5</v>
      </c>
      <c r="E1293" s="4">
        <f t="shared" si="753"/>
        <v>8.6351400554376885E-5</v>
      </c>
      <c r="F1293" s="4">
        <f t="shared" si="753"/>
        <v>8.6351400554376885E-5</v>
      </c>
      <c r="G1293" s="4">
        <f t="shared" si="753"/>
        <v>8.6351400554376885E-5</v>
      </c>
      <c r="H1293" s="4">
        <f t="shared" si="753"/>
        <v>8.6351400554376885E-5</v>
      </c>
      <c r="I1293" s="4">
        <f t="shared" si="753"/>
        <v>8.6351400554376885E-5</v>
      </c>
      <c r="J1293" s="4">
        <f t="shared" si="753"/>
        <v>8.6351400554376885E-5</v>
      </c>
      <c r="K1293" s="4">
        <f t="shared" si="753"/>
        <v>8.6351400554376885E-5</v>
      </c>
      <c r="L1293" s="4">
        <f t="shared" si="753"/>
        <v>8.6351400554376885E-5</v>
      </c>
      <c r="M1293" s="4">
        <f t="shared" si="753"/>
        <v>8.6351400554376885E-5</v>
      </c>
      <c r="N1293" t="s">
        <v>256</v>
      </c>
      <c r="O1293" t="s">
        <v>280</v>
      </c>
      <c r="P1293" t="s">
        <v>351</v>
      </c>
      <c r="Q1293" s="4" t="s">
        <v>245</v>
      </c>
    </row>
    <row r="1294" spans="1:17" x14ac:dyDescent="0.25">
      <c r="A1294" t="s">
        <v>565</v>
      </c>
      <c r="B1294" t="s">
        <v>172</v>
      </c>
      <c r="C1294" s="4">
        <f t="shared" ref="C1294:M1294" si="754">(0.178561789731549/(0.0328453630665826+0.350336698877979+0.0822572721273277+0.0181224344560457+0.178561789731549)) * 0.315494569641995%</f>
        <v>8.5082722557021373E-4</v>
      </c>
      <c r="D1294" s="4">
        <f t="shared" si="754"/>
        <v>8.5082722557021373E-4</v>
      </c>
      <c r="E1294" s="4">
        <f t="shared" si="754"/>
        <v>8.5082722557021373E-4</v>
      </c>
      <c r="F1294" s="4">
        <f t="shared" si="754"/>
        <v>8.5082722557021373E-4</v>
      </c>
      <c r="G1294" s="4">
        <f t="shared" si="754"/>
        <v>8.5082722557021373E-4</v>
      </c>
      <c r="H1294" s="4">
        <f t="shared" si="754"/>
        <v>8.5082722557021373E-4</v>
      </c>
      <c r="I1294" s="4">
        <f t="shared" si="754"/>
        <v>8.5082722557021373E-4</v>
      </c>
      <c r="J1294" s="4">
        <f t="shared" si="754"/>
        <v>8.5082722557021373E-4</v>
      </c>
      <c r="K1294" s="4">
        <f t="shared" si="754"/>
        <v>8.5082722557021373E-4</v>
      </c>
      <c r="L1294" s="4">
        <f t="shared" si="754"/>
        <v>8.5082722557021373E-4</v>
      </c>
      <c r="M1294" s="4">
        <f t="shared" si="754"/>
        <v>8.5082722557021373E-4</v>
      </c>
      <c r="N1294" t="s">
        <v>256</v>
      </c>
      <c r="O1294" t="s">
        <v>354</v>
      </c>
      <c r="P1294" t="s">
        <v>351</v>
      </c>
      <c r="Q1294" s="4" t="s">
        <v>245</v>
      </c>
    </row>
    <row r="1295" spans="1:17" x14ac:dyDescent="0.25">
      <c r="A1295" t="s">
        <v>565</v>
      </c>
      <c r="B1295" t="s">
        <v>150</v>
      </c>
      <c r="C1295" s="4">
        <f t="shared" ref="C1295:M1295" si="755">(0.0328453630665826/(0.0328453630665826+0.350336698877979+0.0822572721273277+0.0181224344560457+0.178561789731549)) * 4.0372774758215%</f>
        <v>2.0027356350599073E-3</v>
      </c>
      <c r="D1295" s="4">
        <f t="shared" si="755"/>
        <v>2.0027356350599073E-3</v>
      </c>
      <c r="E1295" s="4">
        <f t="shared" si="755"/>
        <v>2.0027356350599073E-3</v>
      </c>
      <c r="F1295" s="4">
        <f t="shared" si="755"/>
        <v>2.0027356350599073E-3</v>
      </c>
      <c r="G1295" s="4">
        <f t="shared" si="755"/>
        <v>2.0027356350599073E-3</v>
      </c>
      <c r="H1295" s="4">
        <f t="shared" si="755"/>
        <v>2.0027356350599073E-3</v>
      </c>
      <c r="I1295" s="4">
        <f t="shared" si="755"/>
        <v>2.0027356350599073E-3</v>
      </c>
      <c r="J1295" s="4">
        <f t="shared" si="755"/>
        <v>2.0027356350599073E-3</v>
      </c>
      <c r="K1295" s="4">
        <f t="shared" si="755"/>
        <v>2.0027356350599073E-3</v>
      </c>
      <c r="L1295" s="4">
        <f t="shared" si="755"/>
        <v>2.0027356350599073E-3</v>
      </c>
      <c r="M1295" s="4">
        <f t="shared" si="755"/>
        <v>2.0027356350599073E-3</v>
      </c>
      <c r="N1295" t="s">
        <v>242</v>
      </c>
      <c r="O1295" t="s">
        <v>358</v>
      </c>
      <c r="P1295" t="s">
        <v>351</v>
      </c>
      <c r="Q1295" s="4" t="s">
        <v>245</v>
      </c>
    </row>
    <row r="1296" spans="1:17" x14ac:dyDescent="0.25">
      <c r="A1296" t="s">
        <v>565</v>
      </c>
      <c r="B1296" t="s">
        <v>150</v>
      </c>
      <c r="C1296" s="4">
        <f t="shared" ref="C1296:M1296" si="756">(0.350336698877979/(0.0328453630665826+0.350336698877979+0.0822572721273277+0.0181224344560457+0.178561789731549)) * 4.0372774758215%</f>
        <v>2.1361669520591545E-2</v>
      </c>
      <c r="D1296" s="4">
        <f t="shared" si="756"/>
        <v>2.1361669520591545E-2</v>
      </c>
      <c r="E1296" s="4">
        <f t="shared" si="756"/>
        <v>2.1361669520591545E-2</v>
      </c>
      <c r="F1296" s="4">
        <f t="shared" si="756"/>
        <v>2.1361669520591545E-2</v>
      </c>
      <c r="G1296" s="4">
        <f t="shared" si="756"/>
        <v>2.1361669520591545E-2</v>
      </c>
      <c r="H1296" s="4">
        <f t="shared" si="756"/>
        <v>2.1361669520591545E-2</v>
      </c>
      <c r="I1296" s="4">
        <f t="shared" si="756"/>
        <v>2.1361669520591545E-2</v>
      </c>
      <c r="J1296" s="4">
        <f t="shared" si="756"/>
        <v>2.1361669520591545E-2</v>
      </c>
      <c r="K1296" s="4">
        <f t="shared" si="756"/>
        <v>2.1361669520591545E-2</v>
      </c>
      <c r="L1296" s="4">
        <f t="shared" si="756"/>
        <v>2.1361669520591545E-2</v>
      </c>
      <c r="M1296" s="4">
        <f t="shared" si="756"/>
        <v>2.1361669520591545E-2</v>
      </c>
      <c r="N1296" t="s">
        <v>256</v>
      </c>
      <c r="O1296" t="s">
        <v>356</v>
      </c>
      <c r="P1296" t="s">
        <v>351</v>
      </c>
      <c r="Q1296" s="4" t="s">
        <v>245</v>
      </c>
    </row>
    <row r="1297" spans="1:17" x14ac:dyDescent="0.25">
      <c r="A1297" t="s">
        <v>565</v>
      </c>
      <c r="B1297" t="s">
        <v>150</v>
      </c>
      <c r="C1297" s="4">
        <f t="shared" ref="C1297:M1297" si="757">(0.0822572721273277/(0.0328453630665826+0.350336698877979+0.0822572721273277+0.0181224344560457+0.178561789731549)) * 4.0372774758215%</f>
        <v>5.0156111776955186E-3</v>
      </c>
      <c r="D1297" s="4">
        <f t="shared" si="757"/>
        <v>5.0156111776955186E-3</v>
      </c>
      <c r="E1297" s="4">
        <f t="shared" si="757"/>
        <v>5.0156111776955186E-3</v>
      </c>
      <c r="F1297" s="4">
        <f t="shared" si="757"/>
        <v>5.0156111776955186E-3</v>
      </c>
      <c r="G1297" s="4">
        <f t="shared" si="757"/>
        <v>5.0156111776955186E-3</v>
      </c>
      <c r="H1297" s="4">
        <f t="shared" si="757"/>
        <v>5.0156111776955186E-3</v>
      </c>
      <c r="I1297" s="4">
        <f t="shared" si="757"/>
        <v>5.0156111776955186E-3</v>
      </c>
      <c r="J1297" s="4">
        <f t="shared" si="757"/>
        <v>5.0156111776955186E-3</v>
      </c>
      <c r="K1297" s="4">
        <f t="shared" si="757"/>
        <v>5.0156111776955186E-3</v>
      </c>
      <c r="L1297" s="4">
        <f t="shared" si="757"/>
        <v>5.0156111776955186E-3</v>
      </c>
      <c r="M1297" s="4">
        <f t="shared" si="757"/>
        <v>5.0156111776955186E-3</v>
      </c>
      <c r="N1297" t="s">
        <v>256</v>
      </c>
      <c r="O1297" t="s">
        <v>353</v>
      </c>
      <c r="P1297" t="s">
        <v>351</v>
      </c>
      <c r="Q1297" s="4" t="s">
        <v>245</v>
      </c>
    </row>
    <row r="1298" spans="1:17" x14ac:dyDescent="0.25">
      <c r="A1298" t="s">
        <v>565</v>
      </c>
      <c r="B1298" t="s">
        <v>150</v>
      </c>
      <c r="C1298" s="4">
        <f t="shared" ref="C1298:M1298" si="758">(0.0181224344560457/(0.0328453630665826+0.350336698877979+0.0822572721273277+0.0181224344560457+0.178561789731549)) * 4.0372774758215%</f>
        <v>1.105009714935585E-3</v>
      </c>
      <c r="D1298" s="4">
        <f t="shared" si="758"/>
        <v>1.105009714935585E-3</v>
      </c>
      <c r="E1298" s="4">
        <f t="shared" si="758"/>
        <v>1.105009714935585E-3</v>
      </c>
      <c r="F1298" s="4">
        <f t="shared" si="758"/>
        <v>1.105009714935585E-3</v>
      </c>
      <c r="G1298" s="4">
        <f t="shared" si="758"/>
        <v>1.105009714935585E-3</v>
      </c>
      <c r="H1298" s="4">
        <f t="shared" si="758"/>
        <v>1.105009714935585E-3</v>
      </c>
      <c r="I1298" s="4">
        <f t="shared" si="758"/>
        <v>1.105009714935585E-3</v>
      </c>
      <c r="J1298" s="4">
        <f t="shared" si="758"/>
        <v>1.105009714935585E-3</v>
      </c>
      <c r="K1298" s="4">
        <f t="shared" si="758"/>
        <v>1.105009714935585E-3</v>
      </c>
      <c r="L1298" s="4">
        <f t="shared" si="758"/>
        <v>1.105009714935585E-3</v>
      </c>
      <c r="M1298" s="4">
        <f t="shared" si="758"/>
        <v>1.105009714935585E-3</v>
      </c>
      <c r="N1298" t="s">
        <v>256</v>
      </c>
      <c r="O1298" t="s">
        <v>280</v>
      </c>
      <c r="P1298" t="s">
        <v>351</v>
      </c>
      <c r="Q1298" s="4" t="s">
        <v>245</v>
      </c>
    </row>
    <row r="1299" spans="1:17" x14ac:dyDescent="0.25">
      <c r="A1299" t="s">
        <v>565</v>
      </c>
      <c r="B1299" t="s">
        <v>150</v>
      </c>
      <c r="C1299" s="4">
        <f t="shared" ref="C1299:M1299" si="759">(0.178561789731549/(0.0328453630665826+0.350336698877979+0.0822572721273277+0.0181224344560457+0.178561789731549)) * 4.0372774758215%</f>
        <v>1.0887748709932444E-2</v>
      </c>
      <c r="D1299" s="4">
        <f t="shared" si="759"/>
        <v>1.0887748709932444E-2</v>
      </c>
      <c r="E1299" s="4">
        <f t="shared" si="759"/>
        <v>1.0887748709932444E-2</v>
      </c>
      <c r="F1299" s="4">
        <f t="shared" si="759"/>
        <v>1.0887748709932444E-2</v>
      </c>
      <c r="G1299" s="4">
        <f t="shared" si="759"/>
        <v>1.0887748709932444E-2</v>
      </c>
      <c r="H1299" s="4">
        <f t="shared" si="759"/>
        <v>1.0887748709932444E-2</v>
      </c>
      <c r="I1299" s="4">
        <f t="shared" si="759"/>
        <v>1.0887748709932444E-2</v>
      </c>
      <c r="J1299" s="4">
        <f t="shared" si="759"/>
        <v>1.0887748709932444E-2</v>
      </c>
      <c r="K1299" s="4">
        <f t="shared" si="759"/>
        <v>1.0887748709932444E-2</v>
      </c>
      <c r="L1299" s="4">
        <f t="shared" si="759"/>
        <v>1.0887748709932444E-2</v>
      </c>
      <c r="M1299" s="4">
        <f t="shared" si="759"/>
        <v>1.0887748709932444E-2</v>
      </c>
      <c r="N1299" t="s">
        <v>256</v>
      </c>
      <c r="O1299" t="s">
        <v>354</v>
      </c>
      <c r="P1299" t="s">
        <v>351</v>
      </c>
      <c r="Q1299" s="4" t="s">
        <v>245</v>
      </c>
    </row>
    <row r="1300" spans="1:17" x14ac:dyDescent="0.25">
      <c r="A1300" t="s">
        <v>565</v>
      </c>
      <c r="B1300" t="s">
        <v>173</v>
      </c>
      <c r="C1300" s="4">
        <f t="shared" ref="C1300:M1300" si="760">(0.0328453630665826/(0.0328453630665826+0.350336698877979+0.0822572721273277+0.0181224344560457+0.178561789731549)) * 0.579466159691323%</f>
        <v>2.8745052433855491E-4</v>
      </c>
      <c r="D1300" s="4">
        <f t="shared" si="760"/>
        <v>2.8745052433855491E-4</v>
      </c>
      <c r="E1300" s="4">
        <f t="shared" si="760"/>
        <v>2.8745052433855491E-4</v>
      </c>
      <c r="F1300" s="4">
        <f t="shared" si="760"/>
        <v>2.8745052433855491E-4</v>
      </c>
      <c r="G1300" s="4">
        <f t="shared" si="760"/>
        <v>2.8745052433855491E-4</v>
      </c>
      <c r="H1300" s="4">
        <f t="shared" si="760"/>
        <v>2.8745052433855491E-4</v>
      </c>
      <c r="I1300" s="4">
        <f t="shared" si="760"/>
        <v>2.8745052433855491E-4</v>
      </c>
      <c r="J1300" s="4">
        <f t="shared" si="760"/>
        <v>2.8745052433855491E-4</v>
      </c>
      <c r="K1300" s="4">
        <f t="shared" si="760"/>
        <v>2.8745052433855491E-4</v>
      </c>
      <c r="L1300" s="4">
        <f t="shared" si="760"/>
        <v>2.8745052433855491E-4</v>
      </c>
      <c r="M1300" s="4">
        <f t="shared" si="760"/>
        <v>2.8745052433855491E-4</v>
      </c>
      <c r="N1300" t="s">
        <v>242</v>
      </c>
      <c r="O1300" t="s">
        <v>358</v>
      </c>
      <c r="P1300" t="s">
        <v>351</v>
      </c>
      <c r="Q1300" s="4" t="s">
        <v>245</v>
      </c>
    </row>
    <row r="1301" spans="1:17" x14ac:dyDescent="0.25">
      <c r="A1301" t="s">
        <v>565</v>
      </c>
      <c r="B1301" t="s">
        <v>173</v>
      </c>
      <c r="C1301" s="4">
        <f t="shared" ref="C1301:M1301" si="761">(0.350336698877979/(0.0328453630665826+0.350336698877979+0.0822572721273277+0.0181224344560457+0.178561789731549)) * 0.579466159691323%</f>
        <v>3.0660177993274132E-3</v>
      </c>
      <c r="D1301" s="4">
        <f t="shared" si="761"/>
        <v>3.0660177993274132E-3</v>
      </c>
      <c r="E1301" s="4">
        <f t="shared" si="761"/>
        <v>3.0660177993274132E-3</v>
      </c>
      <c r="F1301" s="4">
        <f t="shared" si="761"/>
        <v>3.0660177993274132E-3</v>
      </c>
      <c r="G1301" s="4">
        <f t="shared" si="761"/>
        <v>3.0660177993274132E-3</v>
      </c>
      <c r="H1301" s="4">
        <f t="shared" si="761"/>
        <v>3.0660177993274132E-3</v>
      </c>
      <c r="I1301" s="4">
        <f t="shared" si="761"/>
        <v>3.0660177993274132E-3</v>
      </c>
      <c r="J1301" s="4">
        <f t="shared" si="761"/>
        <v>3.0660177993274132E-3</v>
      </c>
      <c r="K1301" s="4">
        <f t="shared" si="761"/>
        <v>3.0660177993274132E-3</v>
      </c>
      <c r="L1301" s="4">
        <f t="shared" si="761"/>
        <v>3.0660177993274132E-3</v>
      </c>
      <c r="M1301" s="4">
        <f t="shared" si="761"/>
        <v>3.0660177993274132E-3</v>
      </c>
      <c r="N1301" t="s">
        <v>256</v>
      </c>
      <c r="O1301" t="s">
        <v>356</v>
      </c>
      <c r="P1301" t="s">
        <v>351</v>
      </c>
      <c r="Q1301" s="4" t="s">
        <v>245</v>
      </c>
    </row>
    <row r="1302" spans="1:17" x14ac:dyDescent="0.25">
      <c r="A1302" t="s">
        <v>565</v>
      </c>
      <c r="B1302" t="s">
        <v>173</v>
      </c>
      <c r="C1302" s="4">
        <f t="shared" ref="C1302:M1302" si="762">(0.0822572721273277/(0.0328453630665826+0.350336698877979+0.0822572721273277+0.0181224344560457+0.178561789731549)) * 0.579466159691323%</f>
        <v>7.1988535963897558E-4</v>
      </c>
      <c r="D1302" s="4">
        <f t="shared" si="762"/>
        <v>7.1988535963897558E-4</v>
      </c>
      <c r="E1302" s="4">
        <f t="shared" si="762"/>
        <v>7.1988535963897558E-4</v>
      </c>
      <c r="F1302" s="4">
        <f t="shared" si="762"/>
        <v>7.1988535963897558E-4</v>
      </c>
      <c r="G1302" s="4">
        <f t="shared" si="762"/>
        <v>7.1988535963897558E-4</v>
      </c>
      <c r="H1302" s="4">
        <f t="shared" si="762"/>
        <v>7.1988535963897558E-4</v>
      </c>
      <c r="I1302" s="4">
        <f t="shared" si="762"/>
        <v>7.1988535963897558E-4</v>
      </c>
      <c r="J1302" s="4">
        <f t="shared" si="762"/>
        <v>7.1988535963897558E-4</v>
      </c>
      <c r="K1302" s="4">
        <f t="shared" si="762"/>
        <v>7.1988535963897558E-4</v>
      </c>
      <c r="L1302" s="4">
        <f t="shared" si="762"/>
        <v>7.1988535963897558E-4</v>
      </c>
      <c r="M1302" s="4">
        <f t="shared" si="762"/>
        <v>7.1988535963897558E-4</v>
      </c>
      <c r="N1302" t="s">
        <v>256</v>
      </c>
      <c r="O1302" t="s">
        <v>353</v>
      </c>
      <c r="P1302" t="s">
        <v>351</v>
      </c>
      <c r="Q1302" s="4" t="s">
        <v>245</v>
      </c>
    </row>
    <row r="1303" spans="1:17" x14ac:dyDescent="0.25">
      <c r="A1303" t="s">
        <v>565</v>
      </c>
      <c r="B1303" t="s">
        <v>173</v>
      </c>
      <c r="C1303" s="4">
        <f t="shared" ref="C1303:M1303" si="763">(0.0181224344560457/(0.0328453630665826+0.350336698877979+0.0822572721273277+0.0181224344560457+0.178561789731549)) * 0.579466159691323%</f>
        <v>1.586008739230975E-4</v>
      </c>
      <c r="D1303" s="4">
        <f t="shared" si="763"/>
        <v>1.586008739230975E-4</v>
      </c>
      <c r="E1303" s="4">
        <f t="shared" si="763"/>
        <v>1.586008739230975E-4</v>
      </c>
      <c r="F1303" s="4">
        <f t="shared" si="763"/>
        <v>1.586008739230975E-4</v>
      </c>
      <c r="G1303" s="4">
        <f t="shared" si="763"/>
        <v>1.586008739230975E-4</v>
      </c>
      <c r="H1303" s="4">
        <f t="shared" si="763"/>
        <v>1.586008739230975E-4</v>
      </c>
      <c r="I1303" s="4">
        <f t="shared" si="763"/>
        <v>1.586008739230975E-4</v>
      </c>
      <c r="J1303" s="4">
        <f t="shared" si="763"/>
        <v>1.586008739230975E-4</v>
      </c>
      <c r="K1303" s="4">
        <f t="shared" si="763"/>
        <v>1.586008739230975E-4</v>
      </c>
      <c r="L1303" s="4">
        <f t="shared" si="763"/>
        <v>1.586008739230975E-4</v>
      </c>
      <c r="M1303" s="4">
        <f t="shared" si="763"/>
        <v>1.586008739230975E-4</v>
      </c>
      <c r="N1303" t="s">
        <v>256</v>
      </c>
      <c r="O1303" t="s">
        <v>280</v>
      </c>
      <c r="P1303" t="s">
        <v>351</v>
      </c>
      <c r="Q1303" s="4" t="s">
        <v>245</v>
      </c>
    </row>
    <row r="1304" spans="1:17" x14ac:dyDescent="0.25">
      <c r="A1304" t="s">
        <v>565</v>
      </c>
      <c r="B1304" t="s">
        <v>173</v>
      </c>
      <c r="C1304" s="4">
        <f t="shared" ref="C1304:M1304" si="764">(0.178561789731549/(0.0328453630665826+0.350336698877979+0.0822572721273277+0.0181224344560457+0.178561789731549)) * 0.579466159691323%</f>
        <v>1.5627070396851891E-3</v>
      </c>
      <c r="D1304" s="4">
        <f t="shared" si="764"/>
        <v>1.5627070396851891E-3</v>
      </c>
      <c r="E1304" s="4">
        <f t="shared" si="764"/>
        <v>1.5627070396851891E-3</v>
      </c>
      <c r="F1304" s="4">
        <f t="shared" si="764"/>
        <v>1.5627070396851891E-3</v>
      </c>
      <c r="G1304" s="4">
        <f t="shared" si="764"/>
        <v>1.5627070396851891E-3</v>
      </c>
      <c r="H1304" s="4">
        <f t="shared" si="764"/>
        <v>1.5627070396851891E-3</v>
      </c>
      <c r="I1304" s="4">
        <f t="shared" si="764"/>
        <v>1.5627070396851891E-3</v>
      </c>
      <c r="J1304" s="4">
        <f t="shared" si="764"/>
        <v>1.5627070396851891E-3</v>
      </c>
      <c r="K1304" s="4">
        <f t="shared" si="764"/>
        <v>1.5627070396851891E-3</v>
      </c>
      <c r="L1304" s="4">
        <f t="shared" si="764"/>
        <v>1.5627070396851891E-3</v>
      </c>
      <c r="M1304" s="4">
        <f t="shared" si="764"/>
        <v>1.5627070396851891E-3</v>
      </c>
      <c r="N1304" t="s">
        <v>256</v>
      </c>
      <c r="O1304" t="s">
        <v>354</v>
      </c>
      <c r="P1304" t="s">
        <v>351</v>
      </c>
      <c r="Q1304" s="4" t="s">
        <v>245</v>
      </c>
    </row>
    <row r="1305" spans="1:17" x14ac:dyDescent="0.25">
      <c r="A1305" t="s">
        <v>565</v>
      </c>
      <c r="B1305" t="s">
        <v>161</v>
      </c>
      <c r="C1305" s="4">
        <f t="shared" ref="C1305:M1305" si="765">(0.0328453630665826/(0.0328453630665826+0.350336698877979+0.0822572721273277+0.0181224344560457+0.178561789731549)) * 0.00673664616703831%</f>
        <v>3.3417869889589596E-6</v>
      </c>
      <c r="D1305" s="4">
        <f t="shared" si="765"/>
        <v>3.3417869889589596E-6</v>
      </c>
      <c r="E1305" s="4">
        <f t="shared" si="765"/>
        <v>3.3417869889589596E-6</v>
      </c>
      <c r="F1305" s="4">
        <f t="shared" si="765"/>
        <v>3.3417869889589596E-6</v>
      </c>
      <c r="G1305" s="4">
        <f t="shared" si="765"/>
        <v>3.3417869889589596E-6</v>
      </c>
      <c r="H1305" s="4">
        <f t="shared" si="765"/>
        <v>3.3417869889589596E-6</v>
      </c>
      <c r="I1305" s="4">
        <f t="shared" si="765"/>
        <v>3.3417869889589596E-6</v>
      </c>
      <c r="J1305" s="4">
        <f t="shared" si="765"/>
        <v>3.3417869889589596E-6</v>
      </c>
      <c r="K1305" s="4">
        <f t="shared" si="765"/>
        <v>3.3417869889589596E-6</v>
      </c>
      <c r="L1305" s="4">
        <f t="shared" si="765"/>
        <v>3.3417869889589596E-6</v>
      </c>
      <c r="M1305" s="4">
        <f t="shared" si="765"/>
        <v>3.3417869889589596E-6</v>
      </c>
      <c r="N1305" t="s">
        <v>242</v>
      </c>
      <c r="O1305" t="s">
        <v>358</v>
      </c>
      <c r="P1305" t="s">
        <v>351</v>
      </c>
      <c r="Q1305" s="4" t="s">
        <v>245</v>
      </c>
    </row>
    <row r="1306" spans="1:17" x14ac:dyDescent="0.25">
      <c r="A1306" t="s">
        <v>565</v>
      </c>
      <c r="B1306" t="s">
        <v>161</v>
      </c>
      <c r="C1306" s="4">
        <f t="shared" ref="C1306:M1306" si="766">(0.350336698877979/(0.0328453630665826+0.350336698877979+0.0822572721273277+0.0181224344560457+0.178561789731549)) * 0.00673664616703831%</f>
        <v>3.5644319707837352E-5</v>
      </c>
      <c r="D1306" s="4">
        <f t="shared" si="766"/>
        <v>3.5644319707837352E-5</v>
      </c>
      <c r="E1306" s="4">
        <f t="shared" si="766"/>
        <v>3.5644319707837352E-5</v>
      </c>
      <c r="F1306" s="4">
        <f t="shared" si="766"/>
        <v>3.5644319707837352E-5</v>
      </c>
      <c r="G1306" s="4">
        <f t="shared" si="766"/>
        <v>3.5644319707837352E-5</v>
      </c>
      <c r="H1306" s="4">
        <f t="shared" si="766"/>
        <v>3.5644319707837352E-5</v>
      </c>
      <c r="I1306" s="4">
        <f t="shared" si="766"/>
        <v>3.5644319707837352E-5</v>
      </c>
      <c r="J1306" s="4">
        <f t="shared" si="766"/>
        <v>3.5644319707837352E-5</v>
      </c>
      <c r="K1306" s="4">
        <f t="shared" si="766"/>
        <v>3.5644319707837352E-5</v>
      </c>
      <c r="L1306" s="4">
        <f t="shared" si="766"/>
        <v>3.5644319707837352E-5</v>
      </c>
      <c r="M1306" s="4">
        <f t="shared" si="766"/>
        <v>3.5644319707837352E-5</v>
      </c>
      <c r="N1306" t="s">
        <v>256</v>
      </c>
      <c r="O1306" t="s">
        <v>356</v>
      </c>
      <c r="P1306" t="s">
        <v>351</v>
      </c>
      <c r="Q1306" s="4" t="s">
        <v>245</v>
      </c>
    </row>
    <row r="1307" spans="1:17" x14ac:dyDescent="0.25">
      <c r="A1307" t="s">
        <v>565</v>
      </c>
      <c r="B1307" t="s">
        <v>161</v>
      </c>
      <c r="C1307" s="4">
        <f t="shared" ref="C1307:M1307" si="767">(0.0822572721273277/(0.0328453630665826+0.350336698877979+0.0822572721273277+0.0181224344560457+0.178561789731549)) * 0.00673664616703831%</f>
        <v>8.3691046795592855E-6</v>
      </c>
      <c r="D1307" s="4">
        <f t="shared" si="767"/>
        <v>8.3691046795592855E-6</v>
      </c>
      <c r="E1307" s="4">
        <f t="shared" si="767"/>
        <v>8.3691046795592855E-6</v>
      </c>
      <c r="F1307" s="4">
        <f t="shared" si="767"/>
        <v>8.3691046795592855E-6</v>
      </c>
      <c r="G1307" s="4">
        <f t="shared" si="767"/>
        <v>8.3691046795592855E-6</v>
      </c>
      <c r="H1307" s="4">
        <f t="shared" si="767"/>
        <v>8.3691046795592855E-6</v>
      </c>
      <c r="I1307" s="4">
        <f t="shared" si="767"/>
        <v>8.3691046795592855E-6</v>
      </c>
      <c r="J1307" s="4">
        <f t="shared" si="767"/>
        <v>8.3691046795592855E-6</v>
      </c>
      <c r="K1307" s="4">
        <f t="shared" si="767"/>
        <v>8.3691046795592855E-6</v>
      </c>
      <c r="L1307" s="4">
        <f t="shared" si="767"/>
        <v>8.3691046795592855E-6</v>
      </c>
      <c r="M1307" s="4">
        <f t="shared" si="767"/>
        <v>8.3691046795592855E-6</v>
      </c>
      <c r="N1307" t="s">
        <v>256</v>
      </c>
      <c r="O1307" t="s">
        <v>353</v>
      </c>
      <c r="P1307" t="s">
        <v>351</v>
      </c>
      <c r="Q1307" s="4" t="s">
        <v>245</v>
      </c>
    </row>
    <row r="1308" spans="1:17" x14ac:dyDescent="0.25">
      <c r="A1308" t="s">
        <v>565</v>
      </c>
      <c r="B1308" t="s">
        <v>161</v>
      </c>
      <c r="C1308" s="4">
        <f t="shared" ref="C1308:M1308" si="768">(0.0181224344560457/(0.0328453630665826+0.350336698877979+0.0822572721273277+0.0181224344560457+0.178561789731549)) * 0.00673664616703831%</f>
        <v>1.8438315189485945E-6</v>
      </c>
      <c r="D1308" s="4">
        <f t="shared" si="768"/>
        <v>1.8438315189485945E-6</v>
      </c>
      <c r="E1308" s="4">
        <f t="shared" si="768"/>
        <v>1.8438315189485945E-6</v>
      </c>
      <c r="F1308" s="4">
        <f t="shared" si="768"/>
        <v>1.8438315189485945E-6</v>
      </c>
      <c r="G1308" s="4">
        <f t="shared" si="768"/>
        <v>1.8438315189485945E-6</v>
      </c>
      <c r="H1308" s="4">
        <f t="shared" si="768"/>
        <v>1.8438315189485945E-6</v>
      </c>
      <c r="I1308" s="4">
        <f t="shared" si="768"/>
        <v>1.8438315189485945E-6</v>
      </c>
      <c r="J1308" s="4">
        <f t="shared" si="768"/>
        <v>1.8438315189485945E-6</v>
      </c>
      <c r="K1308" s="4">
        <f t="shared" si="768"/>
        <v>1.8438315189485945E-6</v>
      </c>
      <c r="L1308" s="4">
        <f t="shared" si="768"/>
        <v>1.8438315189485945E-6</v>
      </c>
      <c r="M1308" s="4">
        <f t="shared" si="768"/>
        <v>1.8438315189485945E-6</v>
      </c>
      <c r="N1308" t="s">
        <v>256</v>
      </c>
      <c r="O1308" t="s">
        <v>280</v>
      </c>
      <c r="P1308" t="s">
        <v>351</v>
      </c>
      <c r="Q1308" s="4" t="s">
        <v>245</v>
      </c>
    </row>
    <row r="1309" spans="1:17" x14ac:dyDescent="0.25">
      <c r="A1309" t="s">
        <v>565</v>
      </c>
      <c r="B1309" t="s">
        <v>161</v>
      </c>
      <c r="C1309" s="4">
        <f t="shared" ref="C1309:M1309" si="769">(0.178561789731549/(0.0328453630665826+0.350336698877979+0.0822572721273277+0.0181224344560457+0.178561789731549)) * 0.00673664616703831%</f>
        <v>1.8167418775078905E-5</v>
      </c>
      <c r="D1309" s="4">
        <f t="shared" si="769"/>
        <v>1.8167418775078905E-5</v>
      </c>
      <c r="E1309" s="4">
        <f t="shared" si="769"/>
        <v>1.8167418775078905E-5</v>
      </c>
      <c r="F1309" s="4">
        <f t="shared" si="769"/>
        <v>1.8167418775078905E-5</v>
      </c>
      <c r="G1309" s="4">
        <f t="shared" si="769"/>
        <v>1.8167418775078905E-5</v>
      </c>
      <c r="H1309" s="4">
        <f t="shared" si="769"/>
        <v>1.8167418775078905E-5</v>
      </c>
      <c r="I1309" s="4">
        <f t="shared" si="769"/>
        <v>1.8167418775078905E-5</v>
      </c>
      <c r="J1309" s="4">
        <f t="shared" si="769"/>
        <v>1.8167418775078905E-5</v>
      </c>
      <c r="K1309" s="4">
        <f t="shared" si="769"/>
        <v>1.8167418775078905E-5</v>
      </c>
      <c r="L1309" s="4">
        <f t="shared" si="769"/>
        <v>1.8167418775078905E-5</v>
      </c>
      <c r="M1309" s="4">
        <f t="shared" si="769"/>
        <v>1.8167418775078905E-5</v>
      </c>
      <c r="N1309" t="s">
        <v>256</v>
      </c>
      <c r="O1309" t="s">
        <v>354</v>
      </c>
      <c r="P1309" t="s">
        <v>351</v>
      </c>
      <c r="Q1309" s="4" t="s">
        <v>245</v>
      </c>
    </row>
    <row r="1310" spans="1:17" x14ac:dyDescent="0.25">
      <c r="A1310" t="s">
        <v>565</v>
      </c>
      <c r="B1310" t="s">
        <v>105</v>
      </c>
      <c r="C1310" s="4">
        <f t="shared" ref="C1310:M1310" si="770">(0.0328453630665826/(0.0328453630665826+0.350336698877979+0.0822572721273277+0.0181224344560457+0.178561789731549)) * 0.0142030454103628%</f>
        <v>7.0455759704551165E-6</v>
      </c>
      <c r="D1310" s="4">
        <f t="shared" si="770"/>
        <v>7.0455759704551165E-6</v>
      </c>
      <c r="E1310" s="4">
        <f t="shared" si="770"/>
        <v>7.0455759704551165E-6</v>
      </c>
      <c r="F1310" s="4">
        <f t="shared" si="770"/>
        <v>7.0455759704551165E-6</v>
      </c>
      <c r="G1310" s="4">
        <f t="shared" si="770"/>
        <v>7.0455759704551165E-6</v>
      </c>
      <c r="H1310" s="4">
        <f t="shared" si="770"/>
        <v>7.0455759704551165E-6</v>
      </c>
      <c r="I1310" s="4">
        <f t="shared" si="770"/>
        <v>7.0455759704551165E-6</v>
      </c>
      <c r="J1310" s="4">
        <f t="shared" si="770"/>
        <v>7.0455759704551165E-6</v>
      </c>
      <c r="K1310" s="4">
        <f t="shared" si="770"/>
        <v>7.0455759704551165E-6</v>
      </c>
      <c r="L1310" s="4">
        <f t="shared" si="770"/>
        <v>7.0455759704551165E-6</v>
      </c>
      <c r="M1310" s="4">
        <f t="shared" si="770"/>
        <v>7.0455759704551165E-6</v>
      </c>
      <c r="N1310" t="s">
        <v>242</v>
      </c>
      <c r="O1310" t="s">
        <v>358</v>
      </c>
      <c r="P1310" t="s">
        <v>351</v>
      </c>
      <c r="Q1310" s="4" t="s">
        <v>245</v>
      </c>
    </row>
    <row r="1311" spans="1:17" x14ac:dyDescent="0.25">
      <c r="A1311" t="s">
        <v>565</v>
      </c>
      <c r="B1311" t="s">
        <v>105</v>
      </c>
      <c r="C1311" s="4">
        <f t="shared" ref="C1311:M1311" si="771">(0.350336698877979/(0.0328453630665826+0.350336698877979+0.0822572721273277+0.0181224344560457+0.178561789731549)) * 0.0142030454103628%</f>
        <v>7.5149841461018019E-5</v>
      </c>
      <c r="D1311" s="4">
        <f t="shared" si="771"/>
        <v>7.5149841461018019E-5</v>
      </c>
      <c r="E1311" s="4">
        <f t="shared" si="771"/>
        <v>7.5149841461018019E-5</v>
      </c>
      <c r="F1311" s="4">
        <f t="shared" si="771"/>
        <v>7.5149841461018019E-5</v>
      </c>
      <c r="G1311" s="4">
        <f t="shared" si="771"/>
        <v>7.5149841461018019E-5</v>
      </c>
      <c r="H1311" s="4">
        <f t="shared" si="771"/>
        <v>7.5149841461018019E-5</v>
      </c>
      <c r="I1311" s="4">
        <f t="shared" si="771"/>
        <v>7.5149841461018019E-5</v>
      </c>
      <c r="J1311" s="4">
        <f t="shared" si="771"/>
        <v>7.5149841461018019E-5</v>
      </c>
      <c r="K1311" s="4">
        <f t="shared" si="771"/>
        <v>7.5149841461018019E-5</v>
      </c>
      <c r="L1311" s="4">
        <f t="shared" si="771"/>
        <v>7.5149841461018019E-5</v>
      </c>
      <c r="M1311" s="4">
        <f t="shared" si="771"/>
        <v>7.5149841461018019E-5</v>
      </c>
      <c r="N1311" t="s">
        <v>256</v>
      </c>
      <c r="O1311" t="s">
        <v>356</v>
      </c>
      <c r="P1311" t="s">
        <v>351</v>
      </c>
      <c r="Q1311" s="4" t="s">
        <v>245</v>
      </c>
    </row>
    <row r="1312" spans="1:17" x14ac:dyDescent="0.25">
      <c r="A1312" t="s">
        <v>565</v>
      </c>
      <c r="B1312" t="s">
        <v>105</v>
      </c>
      <c r="C1312" s="4">
        <f t="shared" ref="C1312:M1312" si="772">(0.0822572721273277/(0.0328453630665826+0.350336698877979+0.0822572721273277+0.0181224344560457+0.178561789731549)) * 0.0142030454103628%</f>
        <v>1.7644799928703808E-5</v>
      </c>
      <c r="D1312" s="4">
        <f t="shared" si="772"/>
        <v>1.7644799928703808E-5</v>
      </c>
      <c r="E1312" s="4">
        <f t="shared" si="772"/>
        <v>1.7644799928703808E-5</v>
      </c>
      <c r="F1312" s="4">
        <f t="shared" si="772"/>
        <v>1.7644799928703808E-5</v>
      </c>
      <c r="G1312" s="4">
        <f t="shared" si="772"/>
        <v>1.7644799928703808E-5</v>
      </c>
      <c r="H1312" s="4">
        <f t="shared" si="772"/>
        <v>1.7644799928703808E-5</v>
      </c>
      <c r="I1312" s="4">
        <f t="shared" si="772"/>
        <v>1.7644799928703808E-5</v>
      </c>
      <c r="J1312" s="4">
        <f t="shared" si="772"/>
        <v>1.7644799928703808E-5</v>
      </c>
      <c r="K1312" s="4">
        <f t="shared" si="772"/>
        <v>1.7644799928703808E-5</v>
      </c>
      <c r="L1312" s="4">
        <f t="shared" si="772"/>
        <v>1.7644799928703808E-5</v>
      </c>
      <c r="M1312" s="4">
        <f t="shared" si="772"/>
        <v>1.7644799928703808E-5</v>
      </c>
      <c r="N1312" t="s">
        <v>256</v>
      </c>
      <c r="O1312" t="s">
        <v>353</v>
      </c>
      <c r="P1312" t="s">
        <v>351</v>
      </c>
      <c r="Q1312" s="4" t="s">
        <v>245</v>
      </c>
    </row>
    <row r="1313" spans="1:17" x14ac:dyDescent="0.25">
      <c r="A1313" t="s">
        <v>565</v>
      </c>
      <c r="B1313" t="s">
        <v>105</v>
      </c>
      <c r="C1313" s="4">
        <f t="shared" ref="C1313:M1313" si="773">(0.0181224344560457/(0.0328453630665826+0.350336698877979+0.0822572721273277+0.0181224344560457+0.178561789731549)) * 0.0142030454103628%</f>
        <v>3.8873976966194703E-6</v>
      </c>
      <c r="D1313" s="4">
        <f t="shared" si="773"/>
        <v>3.8873976966194703E-6</v>
      </c>
      <c r="E1313" s="4">
        <f t="shared" si="773"/>
        <v>3.8873976966194703E-6</v>
      </c>
      <c r="F1313" s="4">
        <f t="shared" si="773"/>
        <v>3.8873976966194703E-6</v>
      </c>
      <c r="G1313" s="4">
        <f t="shared" si="773"/>
        <v>3.8873976966194703E-6</v>
      </c>
      <c r="H1313" s="4">
        <f t="shared" si="773"/>
        <v>3.8873976966194703E-6</v>
      </c>
      <c r="I1313" s="4">
        <f t="shared" si="773"/>
        <v>3.8873976966194703E-6</v>
      </c>
      <c r="J1313" s="4">
        <f t="shared" si="773"/>
        <v>3.8873976966194703E-6</v>
      </c>
      <c r="K1313" s="4">
        <f t="shared" si="773"/>
        <v>3.8873976966194703E-6</v>
      </c>
      <c r="L1313" s="4">
        <f t="shared" si="773"/>
        <v>3.8873976966194703E-6</v>
      </c>
      <c r="M1313" s="4">
        <f t="shared" si="773"/>
        <v>3.8873976966194703E-6</v>
      </c>
      <c r="N1313" t="s">
        <v>256</v>
      </c>
      <c r="O1313" t="s">
        <v>280</v>
      </c>
      <c r="P1313" t="s">
        <v>351</v>
      </c>
      <c r="Q1313" s="4" t="s">
        <v>245</v>
      </c>
    </row>
    <row r="1314" spans="1:17" x14ac:dyDescent="0.25">
      <c r="A1314" t="s">
        <v>565</v>
      </c>
      <c r="B1314" t="s">
        <v>105</v>
      </c>
      <c r="C1314" s="4">
        <f t="shared" ref="C1314:M1314" si="774">(0.178561789731549/(0.0328453630665826+0.350336698877979+0.0822572721273277+0.0181224344560457+0.178561789731549)) * 0.0142030454103628%</f>
        <v>3.8302839046831607E-5</v>
      </c>
      <c r="D1314" s="4">
        <f t="shared" si="774"/>
        <v>3.8302839046831607E-5</v>
      </c>
      <c r="E1314" s="4">
        <f t="shared" si="774"/>
        <v>3.8302839046831607E-5</v>
      </c>
      <c r="F1314" s="4">
        <f t="shared" si="774"/>
        <v>3.8302839046831607E-5</v>
      </c>
      <c r="G1314" s="4">
        <f t="shared" si="774"/>
        <v>3.8302839046831607E-5</v>
      </c>
      <c r="H1314" s="4">
        <f t="shared" si="774"/>
        <v>3.8302839046831607E-5</v>
      </c>
      <c r="I1314" s="4">
        <f t="shared" si="774"/>
        <v>3.8302839046831607E-5</v>
      </c>
      <c r="J1314" s="4">
        <f t="shared" si="774"/>
        <v>3.8302839046831607E-5</v>
      </c>
      <c r="K1314" s="4">
        <f t="shared" si="774"/>
        <v>3.8302839046831607E-5</v>
      </c>
      <c r="L1314" s="4">
        <f t="shared" si="774"/>
        <v>3.8302839046831607E-5</v>
      </c>
      <c r="M1314" s="4">
        <f t="shared" si="774"/>
        <v>3.8302839046831607E-5</v>
      </c>
      <c r="N1314" t="s">
        <v>256</v>
      </c>
      <c r="O1314" t="s">
        <v>354</v>
      </c>
      <c r="P1314" t="s">
        <v>351</v>
      </c>
      <c r="Q1314" s="4" t="s">
        <v>245</v>
      </c>
    </row>
    <row r="1315" spans="1:17" x14ac:dyDescent="0.25">
      <c r="A1315" t="s">
        <v>565</v>
      </c>
      <c r="B1315" t="s">
        <v>174</v>
      </c>
      <c r="C1315" s="4">
        <f t="shared" ref="C1315:M1315" si="775">(0.0328453630665826/(0.0328453630665826+0.350336698877979+0.0822572721273277+0.0181224344560457+0.178561789731549)) * 0.0292926503431558%</f>
        <v>1.4530939485562799E-5</v>
      </c>
      <c r="D1315" s="4">
        <f t="shared" si="775"/>
        <v>1.4530939485562799E-5</v>
      </c>
      <c r="E1315" s="4">
        <f t="shared" si="775"/>
        <v>1.4530939485562799E-5</v>
      </c>
      <c r="F1315" s="4">
        <f t="shared" si="775"/>
        <v>1.4530939485562799E-5</v>
      </c>
      <c r="G1315" s="4">
        <f t="shared" si="775"/>
        <v>1.4530939485562799E-5</v>
      </c>
      <c r="H1315" s="4">
        <f t="shared" si="775"/>
        <v>1.4530939485562799E-5</v>
      </c>
      <c r="I1315" s="4">
        <f t="shared" si="775"/>
        <v>1.4530939485562799E-5</v>
      </c>
      <c r="J1315" s="4">
        <f t="shared" si="775"/>
        <v>1.4530939485562799E-5</v>
      </c>
      <c r="K1315" s="4">
        <f t="shared" si="775"/>
        <v>1.4530939485562799E-5</v>
      </c>
      <c r="L1315" s="4">
        <f t="shared" si="775"/>
        <v>1.4530939485562799E-5</v>
      </c>
      <c r="M1315" s="4">
        <f t="shared" si="775"/>
        <v>1.4530939485562799E-5</v>
      </c>
      <c r="N1315" t="s">
        <v>242</v>
      </c>
      <c r="O1315" t="s">
        <v>358</v>
      </c>
      <c r="P1315" t="s">
        <v>351</v>
      </c>
      <c r="Q1315" s="4" t="s">
        <v>245</v>
      </c>
    </row>
    <row r="1316" spans="1:17" x14ac:dyDescent="0.25">
      <c r="A1316" t="s">
        <v>565</v>
      </c>
      <c r="B1316" t="s">
        <v>174</v>
      </c>
      <c r="C1316" s="4">
        <f t="shared" ref="C1316:M1316" si="776">(0.350336698877979/(0.0328453630665826+0.350336698877979+0.0822572721273277+0.0181224344560457+0.178561789731549)) * 0.0292926503431558%</f>
        <v>1.5499056474571691E-4</v>
      </c>
      <c r="D1316" s="4">
        <f t="shared" si="776"/>
        <v>1.5499056474571691E-4</v>
      </c>
      <c r="E1316" s="4">
        <f t="shared" si="776"/>
        <v>1.5499056474571691E-4</v>
      </c>
      <c r="F1316" s="4">
        <f t="shared" si="776"/>
        <v>1.5499056474571691E-4</v>
      </c>
      <c r="G1316" s="4">
        <f t="shared" si="776"/>
        <v>1.5499056474571691E-4</v>
      </c>
      <c r="H1316" s="4">
        <f t="shared" si="776"/>
        <v>1.5499056474571691E-4</v>
      </c>
      <c r="I1316" s="4">
        <f t="shared" si="776"/>
        <v>1.5499056474571691E-4</v>
      </c>
      <c r="J1316" s="4">
        <f t="shared" si="776"/>
        <v>1.5499056474571691E-4</v>
      </c>
      <c r="K1316" s="4">
        <f t="shared" si="776"/>
        <v>1.5499056474571691E-4</v>
      </c>
      <c r="L1316" s="4">
        <f t="shared" si="776"/>
        <v>1.5499056474571691E-4</v>
      </c>
      <c r="M1316" s="4">
        <f t="shared" si="776"/>
        <v>1.5499056474571691E-4</v>
      </c>
      <c r="N1316" t="s">
        <v>256</v>
      </c>
      <c r="O1316" t="s">
        <v>356</v>
      </c>
      <c r="P1316" t="s">
        <v>351</v>
      </c>
      <c r="Q1316" s="4" t="s">
        <v>245</v>
      </c>
    </row>
    <row r="1317" spans="1:17" x14ac:dyDescent="0.25">
      <c r="A1317" t="s">
        <v>565</v>
      </c>
      <c r="B1317" t="s">
        <v>174</v>
      </c>
      <c r="C1317" s="4">
        <f t="shared" ref="C1317:M1317" si="777">(0.0822572721273277/(0.0328453630665826+0.350336698877979+0.0822572721273277+0.0181224344560457+0.178561789731549)) * 0.0292926503431558%</f>
        <v>3.639099501219284E-5</v>
      </c>
      <c r="D1317" s="4">
        <f t="shared" si="777"/>
        <v>3.639099501219284E-5</v>
      </c>
      <c r="E1317" s="4">
        <f t="shared" si="777"/>
        <v>3.639099501219284E-5</v>
      </c>
      <c r="F1317" s="4">
        <f t="shared" si="777"/>
        <v>3.639099501219284E-5</v>
      </c>
      <c r="G1317" s="4">
        <f t="shared" si="777"/>
        <v>3.639099501219284E-5</v>
      </c>
      <c r="H1317" s="4">
        <f t="shared" si="777"/>
        <v>3.639099501219284E-5</v>
      </c>
      <c r="I1317" s="4">
        <f t="shared" si="777"/>
        <v>3.639099501219284E-5</v>
      </c>
      <c r="J1317" s="4">
        <f t="shared" si="777"/>
        <v>3.639099501219284E-5</v>
      </c>
      <c r="K1317" s="4">
        <f t="shared" si="777"/>
        <v>3.639099501219284E-5</v>
      </c>
      <c r="L1317" s="4">
        <f t="shared" si="777"/>
        <v>3.639099501219284E-5</v>
      </c>
      <c r="M1317" s="4">
        <f t="shared" si="777"/>
        <v>3.639099501219284E-5</v>
      </c>
      <c r="N1317" t="s">
        <v>256</v>
      </c>
      <c r="O1317" t="s">
        <v>353</v>
      </c>
      <c r="P1317" t="s">
        <v>351</v>
      </c>
      <c r="Q1317" s="4" t="s">
        <v>245</v>
      </c>
    </row>
    <row r="1318" spans="1:17" x14ac:dyDescent="0.25">
      <c r="A1318" t="s">
        <v>565</v>
      </c>
      <c r="B1318" t="s">
        <v>174</v>
      </c>
      <c r="C1318" s="4">
        <f t="shared" ref="C1318:M1318" si="778">(0.0181224344560457/(0.0328453630665826+0.350336698877979+0.0822572721273277+0.0181224344560457+0.178561789731549)) * 0.0292926503431558%</f>
        <v>8.017448243091595E-6</v>
      </c>
      <c r="D1318" s="4">
        <f t="shared" si="778"/>
        <v>8.017448243091595E-6</v>
      </c>
      <c r="E1318" s="4">
        <f t="shared" si="778"/>
        <v>8.017448243091595E-6</v>
      </c>
      <c r="F1318" s="4">
        <f t="shared" si="778"/>
        <v>8.017448243091595E-6</v>
      </c>
      <c r="G1318" s="4">
        <f t="shared" si="778"/>
        <v>8.017448243091595E-6</v>
      </c>
      <c r="H1318" s="4">
        <f t="shared" si="778"/>
        <v>8.017448243091595E-6</v>
      </c>
      <c r="I1318" s="4">
        <f t="shared" si="778"/>
        <v>8.017448243091595E-6</v>
      </c>
      <c r="J1318" s="4">
        <f t="shared" si="778"/>
        <v>8.017448243091595E-6</v>
      </c>
      <c r="K1318" s="4">
        <f t="shared" si="778"/>
        <v>8.017448243091595E-6</v>
      </c>
      <c r="L1318" s="4">
        <f t="shared" si="778"/>
        <v>8.017448243091595E-6</v>
      </c>
      <c r="M1318" s="4">
        <f t="shared" si="778"/>
        <v>8.017448243091595E-6</v>
      </c>
      <c r="N1318" t="s">
        <v>256</v>
      </c>
      <c r="O1318" t="s">
        <v>280</v>
      </c>
      <c r="P1318" t="s">
        <v>351</v>
      </c>
      <c r="Q1318" s="4" t="s">
        <v>245</v>
      </c>
    </row>
    <row r="1319" spans="1:17" x14ac:dyDescent="0.25">
      <c r="A1319" t="s">
        <v>565</v>
      </c>
      <c r="B1319" t="s">
        <v>174</v>
      </c>
      <c r="C1319" s="4">
        <f t="shared" ref="C1319:M1319" si="779">(0.178561789731549/(0.0328453630665826+0.350336698877979+0.0822572721273277+0.0181224344560457+0.178561789731549)) * 0.0292926503431558%</f>
        <v>7.8996555944993858E-5</v>
      </c>
      <c r="D1319" s="4">
        <f t="shared" si="779"/>
        <v>7.8996555944993858E-5</v>
      </c>
      <c r="E1319" s="4">
        <f t="shared" si="779"/>
        <v>7.8996555944993858E-5</v>
      </c>
      <c r="F1319" s="4">
        <f t="shared" si="779"/>
        <v>7.8996555944993858E-5</v>
      </c>
      <c r="G1319" s="4">
        <f t="shared" si="779"/>
        <v>7.8996555944993858E-5</v>
      </c>
      <c r="H1319" s="4">
        <f t="shared" si="779"/>
        <v>7.8996555944993858E-5</v>
      </c>
      <c r="I1319" s="4">
        <f t="shared" si="779"/>
        <v>7.8996555944993858E-5</v>
      </c>
      <c r="J1319" s="4">
        <f t="shared" si="779"/>
        <v>7.8996555944993858E-5</v>
      </c>
      <c r="K1319" s="4">
        <f t="shared" si="779"/>
        <v>7.8996555944993858E-5</v>
      </c>
      <c r="L1319" s="4">
        <f t="shared" si="779"/>
        <v>7.8996555944993858E-5</v>
      </c>
      <c r="M1319" s="4">
        <f t="shared" si="779"/>
        <v>7.8996555944993858E-5</v>
      </c>
      <c r="N1319" t="s">
        <v>256</v>
      </c>
      <c r="O1319" t="s">
        <v>354</v>
      </c>
      <c r="P1319" t="s">
        <v>351</v>
      </c>
      <c r="Q1319" s="4" t="s">
        <v>245</v>
      </c>
    </row>
    <row r="1320" spans="1:17" x14ac:dyDescent="0.25">
      <c r="A1320" t="s">
        <v>565</v>
      </c>
      <c r="B1320" t="s">
        <v>175</v>
      </c>
      <c r="C1320" s="4">
        <f t="shared" ref="C1320:M1320" si="780">(0.0328453630665826/(0.0328453630665826+0.350336698877979+0.0822572721273277+0.0181224344560457+0.178561789731549)) * 0.2049580871447%</f>
        <v>1.0167170011887314E-4</v>
      </c>
      <c r="D1320" s="4">
        <f t="shared" si="780"/>
        <v>1.0167170011887314E-4</v>
      </c>
      <c r="E1320" s="4">
        <f t="shared" si="780"/>
        <v>1.0167170011887314E-4</v>
      </c>
      <c r="F1320" s="4">
        <f t="shared" si="780"/>
        <v>1.0167170011887314E-4</v>
      </c>
      <c r="G1320" s="4">
        <f t="shared" si="780"/>
        <v>1.0167170011887314E-4</v>
      </c>
      <c r="H1320" s="4">
        <f t="shared" si="780"/>
        <v>1.0167170011887314E-4</v>
      </c>
      <c r="I1320" s="4">
        <f t="shared" si="780"/>
        <v>1.0167170011887314E-4</v>
      </c>
      <c r="J1320" s="4">
        <f t="shared" si="780"/>
        <v>1.0167170011887314E-4</v>
      </c>
      <c r="K1320" s="4">
        <f t="shared" si="780"/>
        <v>1.0167170011887314E-4</v>
      </c>
      <c r="L1320" s="4">
        <f t="shared" si="780"/>
        <v>1.0167170011887314E-4</v>
      </c>
      <c r="M1320" s="4">
        <f t="shared" si="780"/>
        <v>1.0167170011887314E-4</v>
      </c>
      <c r="N1320" t="s">
        <v>242</v>
      </c>
      <c r="O1320" t="s">
        <v>358</v>
      </c>
      <c r="P1320" t="s">
        <v>351</v>
      </c>
      <c r="Q1320" s="4" t="s">
        <v>245</v>
      </c>
    </row>
    <row r="1321" spans="1:17" x14ac:dyDescent="0.25">
      <c r="A1321" t="s">
        <v>565</v>
      </c>
      <c r="B1321" t="s">
        <v>175</v>
      </c>
      <c r="C1321" s="4">
        <f t="shared" ref="C1321:M1321" si="781">(0.350336698877979/(0.0328453630665826+0.350336698877979+0.0822572721273277+0.0181224344560457+0.178561789731549)) * 0.2049580871447%</f>
        <v>1.0844552918094401E-3</v>
      </c>
      <c r="D1321" s="4">
        <f t="shared" si="781"/>
        <v>1.0844552918094401E-3</v>
      </c>
      <c r="E1321" s="4">
        <f t="shared" si="781"/>
        <v>1.0844552918094401E-3</v>
      </c>
      <c r="F1321" s="4">
        <f t="shared" si="781"/>
        <v>1.0844552918094401E-3</v>
      </c>
      <c r="G1321" s="4">
        <f t="shared" si="781"/>
        <v>1.0844552918094401E-3</v>
      </c>
      <c r="H1321" s="4">
        <f t="shared" si="781"/>
        <v>1.0844552918094401E-3</v>
      </c>
      <c r="I1321" s="4">
        <f t="shared" si="781"/>
        <v>1.0844552918094401E-3</v>
      </c>
      <c r="J1321" s="4">
        <f t="shared" si="781"/>
        <v>1.0844552918094401E-3</v>
      </c>
      <c r="K1321" s="4">
        <f t="shared" si="781"/>
        <v>1.0844552918094401E-3</v>
      </c>
      <c r="L1321" s="4">
        <f t="shared" si="781"/>
        <v>1.0844552918094401E-3</v>
      </c>
      <c r="M1321" s="4">
        <f t="shared" si="781"/>
        <v>1.0844552918094401E-3</v>
      </c>
      <c r="N1321" t="s">
        <v>256</v>
      </c>
      <c r="O1321" t="s">
        <v>356</v>
      </c>
      <c r="P1321" t="s">
        <v>351</v>
      </c>
      <c r="Q1321" s="4" t="s">
        <v>245</v>
      </c>
    </row>
    <row r="1322" spans="1:17" x14ac:dyDescent="0.25">
      <c r="A1322" t="s">
        <v>565</v>
      </c>
      <c r="B1322" t="s">
        <v>175</v>
      </c>
      <c r="C1322" s="4">
        <f t="shared" ref="C1322:M1322" si="782">(0.0822572721273277/(0.0328453630665826+0.350336698877979+0.0822572721273277+0.0181224344560457+0.178561789731549)) * 0.2049580871447%</f>
        <v>2.5462457782465781E-4</v>
      </c>
      <c r="D1322" s="4">
        <f t="shared" si="782"/>
        <v>2.5462457782465781E-4</v>
      </c>
      <c r="E1322" s="4">
        <f t="shared" si="782"/>
        <v>2.5462457782465781E-4</v>
      </c>
      <c r="F1322" s="4">
        <f t="shared" si="782"/>
        <v>2.5462457782465781E-4</v>
      </c>
      <c r="G1322" s="4">
        <f t="shared" si="782"/>
        <v>2.5462457782465781E-4</v>
      </c>
      <c r="H1322" s="4">
        <f t="shared" si="782"/>
        <v>2.5462457782465781E-4</v>
      </c>
      <c r="I1322" s="4">
        <f t="shared" si="782"/>
        <v>2.5462457782465781E-4</v>
      </c>
      <c r="J1322" s="4">
        <f t="shared" si="782"/>
        <v>2.5462457782465781E-4</v>
      </c>
      <c r="K1322" s="4">
        <f t="shared" si="782"/>
        <v>2.5462457782465781E-4</v>
      </c>
      <c r="L1322" s="4">
        <f t="shared" si="782"/>
        <v>2.5462457782465781E-4</v>
      </c>
      <c r="M1322" s="4">
        <f t="shared" si="782"/>
        <v>2.5462457782465781E-4</v>
      </c>
      <c r="N1322" t="s">
        <v>256</v>
      </c>
      <c r="O1322" t="s">
        <v>353</v>
      </c>
      <c r="P1322" t="s">
        <v>351</v>
      </c>
      <c r="Q1322" s="4" t="s">
        <v>245</v>
      </c>
    </row>
    <row r="1323" spans="1:17" x14ac:dyDescent="0.25">
      <c r="A1323" t="s">
        <v>565</v>
      </c>
      <c r="B1323" t="s">
        <v>175</v>
      </c>
      <c r="C1323" s="4">
        <f t="shared" ref="C1323:M1323" si="783">(0.0181224344560457/(0.0328453630665826+0.350336698877979+0.0822572721273277+0.0181224344560457+0.178561789731549)) * 0.2049580871447%</f>
        <v>5.6097377206758316E-5</v>
      </c>
      <c r="D1323" s="4">
        <f t="shared" si="783"/>
        <v>5.6097377206758316E-5</v>
      </c>
      <c r="E1323" s="4">
        <f t="shared" si="783"/>
        <v>5.6097377206758316E-5</v>
      </c>
      <c r="F1323" s="4">
        <f t="shared" si="783"/>
        <v>5.6097377206758316E-5</v>
      </c>
      <c r="G1323" s="4">
        <f t="shared" si="783"/>
        <v>5.6097377206758316E-5</v>
      </c>
      <c r="H1323" s="4">
        <f t="shared" si="783"/>
        <v>5.6097377206758316E-5</v>
      </c>
      <c r="I1323" s="4">
        <f t="shared" si="783"/>
        <v>5.6097377206758316E-5</v>
      </c>
      <c r="J1323" s="4">
        <f t="shared" si="783"/>
        <v>5.6097377206758316E-5</v>
      </c>
      <c r="K1323" s="4">
        <f t="shared" si="783"/>
        <v>5.6097377206758316E-5</v>
      </c>
      <c r="L1323" s="4">
        <f t="shared" si="783"/>
        <v>5.6097377206758316E-5</v>
      </c>
      <c r="M1323" s="4">
        <f t="shared" si="783"/>
        <v>5.6097377206758316E-5</v>
      </c>
      <c r="N1323" t="s">
        <v>256</v>
      </c>
      <c r="O1323" t="s">
        <v>280</v>
      </c>
      <c r="P1323" t="s">
        <v>351</v>
      </c>
      <c r="Q1323" s="4" t="s">
        <v>245</v>
      </c>
    </row>
    <row r="1324" spans="1:17" x14ac:dyDescent="0.25">
      <c r="A1324" t="s">
        <v>565</v>
      </c>
      <c r="B1324" t="s">
        <v>175</v>
      </c>
      <c r="C1324" s="4">
        <f t="shared" ref="C1324:M1324" si="784">(0.178561789731549/(0.0328453630665826+0.350336698877979+0.0822572721273277+0.0181224344560457+0.178561789731549)) * 0.2049580871447%</f>
        <v>5.5273192448727091E-4</v>
      </c>
      <c r="D1324" s="4">
        <f t="shared" si="784"/>
        <v>5.5273192448727091E-4</v>
      </c>
      <c r="E1324" s="4">
        <f t="shared" si="784"/>
        <v>5.5273192448727091E-4</v>
      </c>
      <c r="F1324" s="4">
        <f t="shared" si="784"/>
        <v>5.5273192448727091E-4</v>
      </c>
      <c r="G1324" s="4">
        <f t="shared" si="784"/>
        <v>5.5273192448727091E-4</v>
      </c>
      <c r="H1324" s="4">
        <f t="shared" si="784"/>
        <v>5.5273192448727091E-4</v>
      </c>
      <c r="I1324" s="4">
        <f t="shared" si="784"/>
        <v>5.5273192448727091E-4</v>
      </c>
      <c r="J1324" s="4">
        <f t="shared" si="784"/>
        <v>5.5273192448727091E-4</v>
      </c>
      <c r="K1324" s="4">
        <f t="shared" si="784"/>
        <v>5.5273192448727091E-4</v>
      </c>
      <c r="L1324" s="4">
        <f t="shared" si="784"/>
        <v>5.5273192448727091E-4</v>
      </c>
      <c r="M1324" s="4">
        <f t="shared" si="784"/>
        <v>5.5273192448727091E-4</v>
      </c>
      <c r="N1324" t="s">
        <v>256</v>
      </c>
      <c r="O1324" t="s">
        <v>354</v>
      </c>
      <c r="P1324" t="s">
        <v>351</v>
      </c>
      <c r="Q1324" s="4" t="s">
        <v>245</v>
      </c>
    </row>
    <row r="1325" spans="1:17" x14ac:dyDescent="0.25">
      <c r="A1325" t="s">
        <v>565</v>
      </c>
      <c r="B1325" t="s">
        <v>131</v>
      </c>
      <c r="C1325" s="4">
        <f t="shared" ref="C1325:M1325" si="785">(0.0328453630665826/(0.0328453630665826+0.350336698877979+0.0822572721273277+0.0181224344560457+0.178561789731549)) * 0.242597665236451%</f>
        <v>1.2034322437858017E-4</v>
      </c>
      <c r="D1325" s="4">
        <f t="shared" si="785"/>
        <v>1.2034322437858017E-4</v>
      </c>
      <c r="E1325" s="4">
        <f t="shared" si="785"/>
        <v>1.2034322437858017E-4</v>
      </c>
      <c r="F1325" s="4">
        <f t="shared" si="785"/>
        <v>1.2034322437858017E-4</v>
      </c>
      <c r="G1325" s="4">
        <f t="shared" si="785"/>
        <v>1.2034322437858017E-4</v>
      </c>
      <c r="H1325" s="4">
        <f t="shared" si="785"/>
        <v>1.2034322437858017E-4</v>
      </c>
      <c r="I1325" s="4">
        <f t="shared" si="785"/>
        <v>1.2034322437858017E-4</v>
      </c>
      <c r="J1325" s="4">
        <f t="shared" si="785"/>
        <v>1.2034322437858017E-4</v>
      </c>
      <c r="K1325" s="4">
        <f t="shared" si="785"/>
        <v>1.2034322437858017E-4</v>
      </c>
      <c r="L1325" s="4">
        <f t="shared" si="785"/>
        <v>1.2034322437858017E-4</v>
      </c>
      <c r="M1325" s="4">
        <f t="shared" si="785"/>
        <v>1.2034322437858017E-4</v>
      </c>
      <c r="N1325" t="s">
        <v>242</v>
      </c>
      <c r="O1325" t="s">
        <v>358</v>
      </c>
      <c r="P1325" t="s">
        <v>351</v>
      </c>
      <c r="Q1325" s="4" t="s">
        <v>245</v>
      </c>
    </row>
    <row r="1326" spans="1:17" x14ac:dyDescent="0.25">
      <c r="A1326" t="s">
        <v>565</v>
      </c>
      <c r="B1326" t="s">
        <v>131</v>
      </c>
      <c r="C1326" s="4">
        <f t="shared" ref="C1326:M1326" si="786">(0.350336698877979/(0.0328453630665826+0.350336698877979+0.0822572721273277+0.0181224344560457+0.178561789731549)) * 0.242597665236451%</f>
        <v>1.2836103493713126E-3</v>
      </c>
      <c r="D1326" s="4">
        <f t="shared" si="786"/>
        <v>1.2836103493713126E-3</v>
      </c>
      <c r="E1326" s="4">
        <f t="shared" si="786"/>
        <v>1.2836103493713126E-3</v>
      </c>
      <c r="F1326" s="4">
        <f t="shared" si="786"/>
        <v>1.2836103493713126E-3</v>
      </c>
      <c r="G1326" s="4">
        <f t="shared" si="786"/>
        <v>1.2836103493713126E-3</v>
      </c>
      <c r="H1326" s="4">
        <f t="shared" si="786"/>
        <v>1.2836103493713126E-3</v>
      </c>
      <c r="I1326" s="4">
        <f t="shared" si="786"/>
        <v>1.2836103493713126E-3</v>
      </c>
      <c r="J1326" s="4">
        <f t="shared" si="786"/>
        <v>1.2836103493713126E-3</v>
      </c>
      <c r="K1326" s="4">
        <f t="shared" si="786"/>
        <v>1.2836103493713126E-3</v>
      </c>
      <c r="L1326" s="4">
        <f t="shared" si="786"/>
        <v>1.2836103493713126E-3</v>
      </c>
      <c r="M1326" s="4">
        <f t="shared" si="786"/>
        <v>1.2836103493713126E-3</v>
      </c>
      <c r="N1326" t="s">
        <v>256</v>
      </c>
      <c r="O1326" t="s">
        <v>356</v>
      </c>
      <c r="P1326" t="s">
        <v>351</v>
      </c>
      <c r="Q1326" s="4" t="s">
        <v>245</v>
      </c>
    </row>
    <row r="1327" spans="1:17" x14ac:dyDescent="0.25">
      <c r="A1327" t="s">
        <v>565</v>
      </c>
      <c r="B1327" t="s">
        <v>131</v>
      </c>
      <c r="C1327" s="4">
        <f t="shared" ref="C1327:M1327" si="787">(0.0822572721273277/(0.0328453630665826+0.350336698877979+0.0822572721273277+0.0181224344560457+0.178561789731549)) * 0.242597665236451%</f>
        <v>3.013851707567341E-4</v>
      </c>
      <c r="D1327" s="4">
        <f t="shared" si="787"/>
        <v>3.013851707567341E-4</v>
      </c>
      <c r="E1327" s="4">
        <f t="shared" si="787"/>
        <v>3.013851707567341E-4</v>
      </c>
      <c r="F1327" s="4">
        <f t="shared" si="787"/>
        <v>3.013851707567341E-4</v>
      </c>
      <c r="G1327" s="4">
        <f t="shared" si="787"/>
        <v>3.013851707567341E-4</v>
      </c>
      <c r="H1327" s="4">
        <f t="shared" si="787"/>
        <v>3.013851707567341E-4</v>
      </c>
      <c r="I1327" s="4">
        <f t="shared" si="787"/>
        <v>3.013851707567341E-4</v>
      </c>
      <c r="J1327" s="4">
        <f t="shared" si="787"/>
        <v>3.013851707567341E-4</v>
      </c>
      <c r="K1327" s="4">
        <f t="shared" si="787"/>
        <v>3.013851707567341E-4</v>
      </c>
      <c r="L1327" s="4">
        <f t="shared" si="787"/>
        <v>3.013851707567341E-4</v>
      </c>
      <c r="M1327" s="4">
        <f t="shared" si="787"/>
        <v>3.013851707567341E-4</v>
      </c>
      <c r="N1327" t="s">
        <v>256</v>
      </c>
      <c r="O1327" t="s">
        <v>353</v>
      </c>
      <c r="P1327" t="s">
        <v>351</v>
      </c>
      <c r="Q1327" s="4" t="s">
        <v>245</v>
      </c>
    </row>
    <row r="1328" spans="1:17" x14ac:dyDescent="0.25">
      <c r="A1328" t="s">
        <v>565</v>
      </c>
      <c r="B1328" t="s">
        <v>131</v>
      </c>
      <c r="C1328" s="4">
        <f t="shared" ref="C1328:M1328" si="788">(0.0181224344560457/(0.0328453630665826+0.350336698877979+0.0822572721273277+0.0181224344560457+0.178561789731549)) * 0.242597665236451%</f>
        <v>6.639939377771455E-5</v>
      </c>
      <c r="D1328" s="4">
        <f t="shared" si="788"/>
        <v>6.639939377771455E-5</v>
      </c>
      <c r="E1328" s="4">
        <f t="shared" si="788"/>
        <v>6.639939377771455E-5</v>
      </c>
      <c r="F1328" s="4">
        <f t="shared" si="788"/>
        <v>6.639939377771455E-5</v>
      </c>
      <c r="G1328" s="4">
        <f t="shared" si="788"/>
        <v>6.639939377771455E-5</v>
      </c>
      <c r="H1328" s="4">
        <f t="shared" si="788"/>
        <v>6.639939377771455E-5</v>
      </c>
      <c r="I1328" s="4">
        <f t="shared" si="788"/>
        <v>6.639939377771455E-5</v>
      </c>
      <c r="J1328" s="4">
        <f t="shared" si="788"/>
        <v>6.639939377771455E-5</v>
      </c>
      <c r="K1328" s="4">
        <f t="shared" si="788"/>
        <v>6.639939377771455E-5</v>
      </c>
      <c r="L1328" s="4">
        <f t="shared" si="788"/>
        <v>6.639939377771455E-5</v>
      </c>
      <c r="M1328" s="4">
        <f t="shared" si="788"/>
        <v>6.639939377771455E-5</v>
      </c>
      <c r="N1328" t="s">
        <v>256</v>
      </c>
      <c r="O1328" t="s">
        <v>280</v>
      </c>
      <c r="P1328" t="s">
        <v>351</v>
      </c>
      <c r="Q1328" s="4" t="s">
        <v>245</v>
      </c>
    </row>
    <row r="1329" spans="1:17" x14ac:dyDescent="0.25">
      <c r="A1329" t="s">
        <v>565</v>
      </c>
      <c r="B1329" t="s">
        <v>131</v>
      </c>
      <c r="C1329" s="4">
        <f t="shared" ref="C1329:M1329" si="789">(0.178561789731549/(0.0328453630665826+0.350336698877979+0.0822572721273277+0.0181224344560457+0.178561789731549)) * 0.242597665236451%</f>
        <v>6.5423851408016865E-4</v>
      </c>
      <c r="D1329" s="4">
        <f t="shared" si="789"/>
        <v>6.5423851408016865E-4</v>
      </c>
      <c r="E1329" s="4">
        <f t="shared" si="789"/>
        <v>6.5423851408016865E-4</v>
      </c>
      <c r="F1329" s="4">
        <f t="shared" si="789"/>
        <v>6.5423851408016865E-4</v>
      </c>
      <c r="G1329" s="4">
        <f t="shared" si="789"/>
        <v>6.5423851408016865E-4</v>
      </c>
      <c r="H1329" s="4">
        <f t="shared" si="789"/>
        <v>6.5423851408016865E-4</v>
      </c>
      <c r="I1329" s="4">
        <f t="shared" si="789"/>
        <v>6.5423851408016865E-4</v>
      </c>
      <c r="J1329" s="4">
        <f t="shared" si="789"/>
        <v>6.5423851408016865E-4</v>
      </c>
      <c r="K1329" s="4">
        <f t="shared" si="789"/>
        <v>6.5423851408016865E-4</v>
      </c>
      <c r="L1329" s="4">
        <f t="shared" si="789"/>
        <v>6.5423851408016865E-4</v>
      </c>
      <c r="M1329" s="4">
        <f t="shared" si="789"/>
        <v>6.5423851408016865E-4</v>
      </c>
      <c r="N1329" t="s">
        <v>256</v>
      </c>
      <c r="O1329" t="s">
        <v>354</v>
      </c>
      <c r="P1329" t="s">
        <v>351</v>
      </c>
      <c r="Q1329" s="4" t="s">
        <v>245</v>
      </c>
    </row>
    <row r="1330" spans="1:17" x14ac:dyDescent="0.25">
      <c r="A1330" t="s">
        <v>565</v>
      </c>
      <c r="B1330" t="s">
        <v>201</v>
      </c>
      <c r="C1330" s="4">
        <f t="shared" ref="C1330:M1330" si="790">(0.0328453630665826/(0.0328453630665826+0.350336698877979+0.0822572721273277+0.0181224344560457+0.178561789731549)) * 0.259544823454336%</f>
        <v>1.2875004751105519E-4</v>
      </c>
      <c r="D1330" s="4">
        <f t="shared" si="790"/>
        <v>1.2875004751105519E-4</v>
      </c>
      <c r="E1330" s="4">
        <f t="shared" si="790"/>
        <v>1.2875004751105519E-4</v>
      </c>
      <c r="F1330" s="4">
        <f t="shared" si="790"/>
        <v>1.2875004751105519E-4</v>
      </c>
      <c r="G1330" s="4">
        <f t="shared" si="790"/>
        <v>1.2875004751105519E-4</v>
      </c>
      <c r="H1330" s="4">
        <f t="shared" si="790"/>
        <v>1.2875004751105519E-4</v>
      </c>
      <c r="I1330" s="4">
        <f t="shared" si="790"/>
        <v>1.2875004751105519E-4</v>
      </c>
      <c r="J1330" s="4">
        <f t="shared" si="790"/>
        <v>1.2875004751105519E-4</v>
      </c>
      <c r="K1330" s="4">
        <f t="shared" si="790"/>
        <v>1.2875004751105519E-4</v>
      </c>
      <c r="L1330" s="4">
        <f t="shared" si="790"/>
        <v>1.2875004751105519E-4</v>
      </c>
      <c r="M1330" s="4">
        <f t="shared" si="790"/>
        <v>1.2875004751105519E-4</v>
      </c>
      <c r="N1330" t="s">
        <v>242</v>
      </c>
      <c r="O1330" t="s">
        <v>358</v>
      </c>
      <c r="P1330" t="s">
        <v>351</v>
      </c>
      <c r="Q1330" s="4" t="s">
        <v>245</v>
      </c>
    </row>
    <row r="1331" spans="1:17" x14ac:dyDescent="0.25">
      <c r="A1331" t="s">
        <v>565</v>
      </c>
      <c r="B1331" t="s">
        <v>201</v>
      </c>
      <c r="C1331" s="4">
        <f t="shared" ref="C1331:M1331" si="791">(0.350336698877979/(0.0328453630665826+0.350336698877979+0.0822572721273277+0.0181224344560457+0.178561789731549)) * 0.259544823454336%</f>
        <v>1.3732795869532484E-3</v>
      </c>
      <c r="D1331" s="4">
        <f t="shared" si="791"/>
        <v>1.3732795869532484E-3</v>
      </c>
      <c r="E1331" s="4">
        <f t="shared" si="791"/>
        <v>1.3732795869532484E-3</v>
      </c>
      <c r="F1331" s="4">
        <f t="shared" si="791"/>
        <v>1.3732795869532484E-3</v>
      </c>
      <c r="G1331" s="4">
        <f t="shared" si="791"/>
        <v>1.3732795869532484E-3</v>
      </c>
      <c r="H1331" s="4">
        <f t="shared" si="791"/>
        <v>1.3732795869532484E-3</v>
      </c>
      <c r="I1331" s="4">
        <f t="shared" si="791"/>
        <v>1.3732795869532484E-3</v>
      </c>
      <c r="J1331" s="4">
        <f t="shared" si="791"/>
        <v>1.3732795869532484E-3</v>
      </c>
      <c r="K1331" s="4">
        <f t="shared" si="791"/>
        <v>1.3732795869532484E-3</v>
      </c>
      <c r="L1331" s="4">
        <f t="shared" si="791"/>
        <v>1.3732795869532484E-3</v>
      </c>
      <c r="M1331" s="4">
        <f t="shared" si="791"/>
        <v>1.3732795869532484E-3</v>
      </c>
      <c r="N1331" t="s">
        <v>256</v>
      </c>
      <c r="O1331" t="s">
        <v>356</v>
      </c>
      <c r="P1331" t="s">
        <v>351</v>
      </c>
      <c r="Q1331" s="4" t="s">
        <v>245</v>
      </c>
    </row>
    <row r="1332" spans="1:17" x14ac:dyDescent="0.25">
      <c r="A1332" t="s">
        <v>565</v>
      </c>
      <c r="B1332" t="s">
        <v>201</v>
      </c>
      <c r="C1332" s="4">
        <f t="shared" ref="C1332:M1332" si="792">(0.0822572721273277/(0.0328453630665826+0.350336698877979+0.0822572721273277+0.0181224344560457+0.178561789731549)) * 0.259544823454336%</f>
        <v>3.2243905092643993E-4</v>
      </c>
      <c r="D1332" s="4">
        <f t="shared" si="792"/>
        <v>3.2243905092643993E-4</v>
      </c>
      <c r="E1332" s="4">
        <f t="shared" si="792"/>
        <v>3.2243905092643993E-4</v>
      </c>
      <c r="F1332" s="4">
        <f t="shared" si="792"/>
        <v>3.2243905092643993E-4</v>
      </c>
      <c r="G1332" s="4">
        <f t="shared" si="792"/>
        <v>3.2243905092643993E-4</v>
      </c>
      <c r="H1332" s="4">
        <f t="shared" si="792"/>
        <v>3.2243905092643993E-4</v>
      </c>
      <c r="I1332" s="4">
        <f t="shared" si="792"/>
        <v>3.2243905092643993E-4</v>
      </c>
      <c r="J1332" s="4">
        <f t="shared" si="792"/>
        <v>3.2243905092643993E-4</v>
      </c>
      <c r="K1332" s="4">
        <f t="shared" si="792"/>
        <v>3.2243905092643993E-4</v>
      </c>
      <c r="L1332" s="4">
        <f t="shared" si="792"/>
        <v>3.2243905092643993E-4</v>
      </c>
      <c r="M1332" s="4">
        <f t="shared" si="792"/>
        <v>3.2243905092643993E-4</v>
      </c>
      <c r="N1332" t="s">
        <v>256</v>
      </c>
      <c r="O1332" t="s">
        <v>353</v>
      </c>
      <c r="P1332" t="s">
        <v>351</v>
      </c>
      <c r="Q1332" s="4" t="s">
        <v>245</v>
      </c>
    </row>
    <row r="1333" spans="1:17" x14ac:dyDescent="0.25">
      <c r="A1333" t="s">
        <v>565</v>
      </c>
      <c r="B1333" t="s">
        <v>201</v>
      </c>
      <c r="C1333" s="4">
        <f t="shared" ref="C1333:M1333" si="793">(0.0181224344560457/(0.0328453630665826+0.350336698877979+0.0822572721273277+0.0181224344560457+0.178561789731549)) * 0.259544823454336%</f>
        <v>7.1037859819116084E-5</v>
      </c>
      <c r="D1333" s="4">
        <f t="shared" si="793"/>
        <v>7.1037859819116084E-5</v>
      </c>
      <c r="E1333" s="4">
        <f t="shared" si="793"/>
        <v>7.1037859819116084E-5</v>
      </c>
      <c r="F1333" s="4">
        <f t="shared" si="793"/>
        <v>7.1037859819116084E-5</v>
      </c>
      <c r="G1333" s="4">
        <f t="shared" si="793"/>
        <v>7.1037859819116084E-5</v>
      </c>
      <c r="H1333" s="4">
        <f t="shared" si="793"/>
        <v>7.1037859819116084E-5</v>
      </c>
      <c r="I1333" s="4">
        <f t="shared" si="793"/>
        <v>7.1037859819116084E-5</v>
      </c>
      <c r="J1333" s="4">
        <f t="shared" si="793"/>
        <v>7.1037859819116084E-5</v>
      </c>
      <c r="K1333" s="4">
        <f t="shared" si="793"/>
        <v>7.1037859819116084E-5</v>
      </c>
      <c r="L1333" s="4">
        <f t="shared" si="793"/>
        <v>7.1037859819116084E-5</v>
      </c>
      <c r="M1333" s="4">
        <f t="shared" si="793"/>
        <v>7.1037859819116084E-5</v>
      </c>
      <c r="N1333" t="s">
        <v>256</v>
      </c>
      <c r="O1333" t="s">
        <v>280</v>
      </c>
      <c r="P1333" t="s">
        <v>351</v>
      </c>
      <c r="Q1333" s="4" t="s">
        <v>245</v>
      </c>
    </row>
    <row r="1334" spans="1:17" x14ac:dyDescent="0.25">
      <c r="A1334" t="s">
        <v>565</v>
      </c>
      <c r="B1334" t="s">
        <v>201</v>
      </c>
      <c r="C1334" s="4">
        <f t="shared" ref="C1334:M1334" si="794">(0.178561789731549/(0.0328453630665826+0.350336698877979+0.0822572721273277+0.0181224344560457+0.178561789731549)) * 0.259544823454336%</f>
        <v>6.9994168933350026E-4</v>
      </c>
      <c r="D1334" s="4">
        <f t="shared" si="794"/>
        <v>6.9994168933350026E-4</v>
      </c>
      <c r="E1334" s="4">
        <f t="shared" si="794"/>
        <v>6.9994168933350026E-4</v>
      </c>
      <c r="F1334" s="4">
        <f t="shared" si="794"/>
        <v>6.9994168933350026E-4</v>
      </c>
      <c r="G1334" s="4">
        <f t="shared" si="794"/>
        <v>6.9994168933350026E-4</v>
      </c>
      <c r="H1334" s="4">
        <f t="shared" si="794"/>
        <v>6.9994168933350026E-4</v>
      </c>
      <c r="I1334" s="4">
        <f t="shared" si="794"/>
        <v>6.9994168933350026E-4</v>
      </c>
      <c r="J1334" s="4">
        <f t="shared" si="794"/>
        <v>6.9994168933350026E-4</v>
      </c>
      <c r="K1334" s="4">
        <f t="shared" si="794"/>
        <v>6.9994168933350026E-4</v>
      </c>
      <c r="L1334" s="4">
        <f t="shared" si="794"/>
        <v>6.9994168933350026E-4</v>
      </c>
      <c r="M1334" s="4">
        <f t="shared" si="794"/>
        <v>6.9994168933350026E-4</v>
      </c>
      <c r="N1334" t="s">
        <v>256</v>
      </c>
      <c r="O1334" t="s">
        <v>354</v>
      </c>
      <c r="P1334" t="s">
        <v>351</v>
      </c>
      <c r="Q1334" s="4" t="s">
        <v>245</v>
      </c>
    </row>
    <row r="1335" spans="1:17" x14ac:dyDescent="0.25">
      <c r="A1335" t="s">
        <v>565</v>
      </c>
      <c r="B1335" t="s">
        <v>202</v>
      </c>
      <c r="C1335" s="4">
        <f t="shared" ref="C1335:M1335" si="795">(0.0328453630665826/(0.0328453630665826+0.350336698877979+0.0822572721273277+0.0181224344560457+0.178561789731549)) * 0.112876517155138%</f>
        <v>5.5993630515090385E-5</v>
      </c>
      <c r="D1335" s="4">
        <f t="shared" si="795"/>
        <v>5.5993630515090385E-5</v>
      </c>
      <c r="E1335" s="4">
        <f t="shared" si="795"/>
        <v>5.5993630515090385E-5</v>
      </c>
      <c r="F1335" s="4">
        <f t="shared" si="795"/>
        <v>5.5993630515090385E-5</v>
      </c>
      <c r="G1335" s="4">
        <f t="shared" si="795"/>
        <v>5.5993630515090385E-5</v>
      </c>
      <c r="H1335" s="4">
        <f t="shared" si="795"/>
        <v>5.5993630515090385E-5</v>
      </c>
      <c r="I1335" s="4">
        <f t="shared" si="795"/>
        <v>5.5993630515090385E-5</v>
      </c>
      <c r="J1335" s="4">
        <f t="shared" si="795"/>
        <v>5.5993630515090385E-5</v>
      </c>
      <c r="K1335" s="4">
        <f t="shared" si="795"/>
        <v>5.5993630515090385E-5</v>
      </c>
      <c r="L1335" s="4">
        <f t="shared" si="795"/>
        <v>5.5993630515090385E-5</v>
      </c>
      <c r="M1335" s="4">
        <f t="shared" si="795"/>
        <v>5.5993630515090385E-5</v>
      </c>
      <c r="N1335" t="s">
        <v>242</v>
      </c>
      <c r="O1335" t="s">
        <v>358</v>
      </c>
      <c r="P1335" t="s">
        <v>351</v>
      </c>
      <c r="Q1335" s="4" t="s">
        <v>245</v>
      </c>
    </row>
    <row r="1336" spans="1:17" x14ac:dyDescent="0.25">
      <c r="A1336" t="s">
        <v>565</v>
      </c>
      <c r="B1336" t="s">
        <v>202</v>
      </c>
      <c r="C1336" s="4">
        <f t="shared" ref="C1336:M1336" si="796">(0.350336698877979/(0.0328453630665826+0.350336698877979+0.0822572721273277+0.0181224344560457+0.178561789731549)) * 0.112876517155138%</f>
        <v>5.9724179736068451E-4</v>
      </c>
      <c r="D1336" s="4">
        <f t="shared" si="796"/>
        <v>5.9724179736068451E-4</v>
      </c>
      <c r="E1336" s="4">
        <f t="shared" si="796"/>
        <v>5.9724179736068451E-4</v>
      </c>
      <c r="F1336" s="4">
        <f t="shared" si="796"/>
        <v>5.9724179736068451E-4</v>
      </c>
      <c r="G1336" s="4">
        <f t="shared" si="796"/>
        <v>5.9724179736068451E-4</v>
      </c>
      <c r="H1336" s="4">
        <f t="shared" si="796"/>
        <v>5.9724179736068451E-4</v>
      </c>
      <c r="I1336" s="4">
        <f t="shared" si="796"/>
        <v>5.9724179736068451E-4</v>
      </c>
      <c r="J1336" s="4">
        <f t="shared" si="796"/>
        <v>5.9724179736068451E-4</v>
      </c>
      <c r="K1336" s="4">
        <f t="shared" si="796"/>
        <v>5.9724179736068451E-4</v>
      </c>
      <c r="L1336" s="4">
        <f t="shared" si="796"/>
        <v>5.9724179736068451E-4</v>
      </c>
      <c r="M1336" s="4">
        <f t="shared" si="796"/>
        <v>5.9724179736068451E-4</v>
      </c>
      <c r="N1336" t="s">
        <v>256</v>
      </c>
      <c r="O1336" t="s">
        <v>356</v>
      </c>
      <c r="P1336" t="s">
        <v>351</v>
      </c>
      <c r="Q1336" s="4" t="s">
        <v>245</v>
      </c>
    </row>
    <row r="1337" spans="1:17" x14ac:dyDescent="0.25">
      <c r="A1337" t="s">
        <v>565</v>
      </c>
      <c r="B1337" t="s">
        <v>202</v>
      </c>
      <c r="C1337" s="4">
        <f t="shared" ref="C1337:M1337" si="797">(0.0822572721273277/(0.0328453630665826+0.350336698877979+0.0822572721273277+0.0181224344560457+0.178561789731549)) * 0.112876517155138%</f>
        <v>1.4022933140790669E-4</v>
      </c>
      <c r="D1337" s="4">
        <f t="shared" si="797"/>
        <v>1.4022933140790669E-4</v>
      </c>
      <c r="E1337" s="4">
        <f t="shared" si="797"/>
        <v>1.4022933140790669E-4</v>
      </c>
      <c r="F1337" s="4">
        <f t="shared" si="797"/>
        <v>1.4022933140790669E-4</v>
      </c>
      <c r="G1337" s="4">
        <f t="shared" si="797"/>
        <v>1.4022933140790669E-4</v>
      </c>
      <c r="H1337" s="4">
        <f t="shared" si="797"/>
        <v>1.4022933140790669E-4</v>
      </c>
      <c r="I1337" s="4">
        <f t="shared" si="797"/>
        <v>1.4022933140790669E-4</v>
      </c>
      <c r="J1337" s="4">
        <f t="shared" si="797"/>
        <v>1.4022933140790669E-4</v>
      </c>
      <c r="K1337" s="4">
        <f t="shared" si="797"/>
        <v>1.4022933140790669E-4</v>
      </c>
      <c r="L1337" s="4">
        <f t="shared" si="797"/>
        <v>1.4022933140790669E-4</v>
      </c>
      <c r="M1337" s="4">
        <f t="shared" si="797"/>
        <v>1.4022933140790669E-4</v>
      </c>
      <c r="N1337" t="s">
        <v>256</v>
      </c>
      <c r="O1337" t="s">
        <v>353</v>
      </c>
      <c r="P1337" t="s">
        <v>351</v>
      </c>
      <c r="Q1337" s="4" t="s">
        <v>245</v>
      </c>
    </row>
    <row r="1338" spans="1:17" x14ac:dyDescent="0.25">
      <c r="A1338" t="s">
        <v>565</v>
      </c>
      <c r="B1338" t="s">
        <v>202</v>
      </c>
      <c r="C1338" s="4">
        <f t="shared" ref="C1338:M1338" si="798">(0.0181224344560457/(0.0328453630665826+0.350336698877979+0.0822572721273277+0.0181224344560457+0.178561789731549)) * 0.112876517155138%</f>
        <v>3.0894494815256883E-5</v>
      </c>
      <c r="D1338" s="4">
        <f t="shared" si="798"/>
        <v>3.0894494815256883E-5</v>
      </c>
      <c r="E1338" s="4">
        <f t="shared" si="798"/>
        <v>3.0894494815256883E-5</v>
      </c>
      <c r="F1338" s="4">
        <f t="shared" si="798"/>
        <v>3.0894494815256883E-5</v>
      </c>
      <c r="G1338" s="4">
        <f t="shared" si="798"/>
        <v>3.0894494815256883E-5</v>
      </c>
      <c r="H1338" s="4">
        <f t="shared" si="798"/>
        <v>3.0894494815256883E-5</v>
      </c>
      <c r="I1338" s="4">
        <f t="shared" si="798"/>
        <v>3.0894494815256883E-5</v>
      </c>
      <c r="J1338" s="4">
        <f t="shared" si="798"/>
        <v>3.0894494815256883E-5</v>
      </c>
      <c r="K1338" s="4">
        <f t="shared" si="798"/>
        <v>3.0894494815256883E-5</v>
      </c>
      <c r="L1338" s="4">
        <f t="shared" si="798"/>
        <v>3.0894494815256883E-5</v>
      </c>
      <c r="M1338" s="4">
        <f t="shared" si="798"/>
        <v>3.0894494815256883E-5</v>
      </c>
      <c r="N1338" t="s">
        <v>256</v>
      </c>
      <c r="O1338" t="s">
        <v>280</v>
      </c>
      <c r="P1338" t="s">
        <v>351</v>
      </c>
      <c r="Q1338" s="4" t="s">
        <v>245</v>
      </c>
    </row>
    <row r="1339" spans="1:17" x14ac:dyDescent="0.25">
      <c r="A1339" t="s">
        <v>565</v>
      </c>
      <c r="B1339" t="s">
        <v>202</v>
      </c>
      <c r="C1339" s="4">
        <f t="shared" ref="C1339:M1339" si="799">(0.178561789731549/(0.0328453630665826+0.350336698877979+0.0822572721273277+0.0181224344560457+0.178561789731549)) * 0.112876517155138%</f>
        <v>3.0440591745244154E-4</v>
      </c>
      <c r="D1339" s="4">
        <f t="shared" si="799"/>
        <v>3.0440591745244154E-4</v>
      </c>
      <c r="E1339" s="4">
        <f t="shared" si="799"/>
        <v>3.0440591745244154E-4</v>
      </c>
      <c r="F1339" s="4">
        <f t="shared" si="799"/>
        <v>3.0440591745244154E-4</v>
      </c>
      <c r="G1339" s="4">
        <f t="shared" si="799"/>
        <v>3.0440591745244154E-4</v>
      </c>
      <c r="H1339" s="4">
        <f t="shared" si="799"/>
        <v>3.0440591745244154E-4</v>
      </c>
      <c r="I1339" s="4">
        <f t="shared" si="799"/>
        <v>3.0440591745244154E-4</v>
      </c>
      <c r="J1339" s="4">
        <f t="shared" si="799"/>
        <v>3.0440591745244154E-4</v>
      </c>
      <c r="K1339" s="4">
        <f t="shared" si="799"/>
        <v>3.0440591745244154E-4</v>
      </c>
      <c r="L1339" s="4">
        <f t="shared" si="799"/>
        <v>3.0440591745244154E-4</v>
      </c>
      <c r="M1339" s="4">
        <f t="shared" si="799"/>
        <v>3.0440591745244154E-4</v>
      </c>
      <c r="N1339" t="s">
        <v>256</v>
      </c>
      <c r="O1339" t="s">
        <v>354</v>
      </c>
      <c r="P1339" t="s">
        <v>351</v>
      </c>
      <c r="Q1339" s="4" t="s">
        <v>245</v>
      </c>
    </row>
    <row r="1340" spans="1:17" x14ac:dyDescent="0.25">
      <c r="A1340" t="s">
        <v>565</v>
      </c>
      <c r="B1340" t="s">
        <v>203</v>
      </c>
      <c r="C1340" s="4">
        <f t="shared" ref="C1340:M1340" si="800">(0.0328453630665826/(0.0328453630665826+0.350336698877979+0.0822572721273277+0.0181224344560457+0.178561789731549)) * 0.325674926607045%</f>
        <v>1.6155460823973511E-4</v>
      </c>
      <c r="D1340" s="4">
        <f t="shared" si="800"/>
        <v>1.6155460823973511E-4</v>
      </c>
      <c r="E1340" s="4">
        <f t="shared" si="800"/>
        <v>1.6155460823973511E-4</v>
      </c>
      <c r="F1340" s="4">
        <f t="shared" si="800"/>
        <v>1.6155460823973511E-4</v>
      </c>
      <c r="G1340" s="4">
        <f t="shared" si="800"/>
        <v>1.6155460823973511E-4</v>
      </c>
      <c r="H1340" s="4">
        <f t="shared" si="800"/>
        <v>1.6155460823973511E-4</v>
      </c>
      <c r="I1340" s="4">
        <f t="shared" si="800"/>
        <v>1.6155460823973511E-4</v>
      </c>
      <c r="J1340" s="4">
        <f t="shared" si="800"/>
        <v>1.6155460823973511E-4</v>
      </c>
      <c r="K1340" s="4">
        <f t="shared" si="800"/>
        <v>1.6155460823973511E-4</v>
      </c>
      <c r="L1340" s="4">
        <f t="shared" si="800"/>
        <v>1.6155460823973511E-4</v>
      </c>
      <c r="M1340" s="4">
        <f t="shared" si="800"/>
        <v>1.6155460823973511E-4</v>
      </c>
      <c r="N1340" t="s">
        <v>242</v>
      </c>
      <c r="O1340" t="s">
        <v>358</v>
      </c>
      <c r="P1340" t="s">
        <v>351</v>
      </c>
      <c r="Q1340" s="4" t="s">
        <v>245</v>
      </c>
    </row>
    <row r="1341" spans="1:17" x14ac:dyDescent="0.25">
      <c r="A1341" t="s">
        <v>565</v>
      </c>
      <c r="B1341" t="s">
        <v>203</v>
      </c>
      <c r="C1341" s="4">
        <f t="shared" ref="C1341:M1341" si="801">(0.350336698877979/(0.0328453630665826+0.350336698877979+0.0822572721273277+0.0181224344560457+0.178561789731549)) * 0.325674926607045%</f>
        <v>1.7231810780870367E-3</v>
      </c>
      <c r="D1341" s="4">
        <f t="shared" si="801"/>
        <v>1.7231810780870367E-3</v>
      </c>
      <c r="E1341" s="4">
        <f t="shared" si="801"/>
        <v>1.7231810780870367E-3</v>
      </c>
      <c r="F1341" s="4">
        <f t="shared" si="801"/>
        <v>1.7231810780870367E-3</v>
      </c>
      <c r="G1341" s="4">
        <f t="shared" si="801"/>
        <v>1.7231810780870367E-3</v>
      </c>
      <c r="H1341" s="4">
        <f t="shared" si="801"/>
        <v>1.7231810780870367E-3</v>
      </c>
      <c r="I1341" s="4">
        <f t="shared" si="801"/>
        <v>1.7231810780870367E-3</v>
      </c>
      <c r="J1341" s="4">
        <f t="shared" si="801"/>
        <v>1.7231810780870367E-3</v>
      </c>
      <c r="K1341" s="4">
        <f t="shared" si="801"/>
        <v>1.7231810780870367E-3</v>
      </c>
      <c r="L1341" s="4">
        <f t="shared" si="801"/>
        <v>1.7231810780870367E-3</v>
      </c>
      <c r="M1341" s="4">
        <f t="shared" si="801"/>
        <v>1.7231810780870367E-3</v>
      </c>
      <c r="N1341" t="s">
        <v>256</v>
      </c>
      <c r="O1341" t="s">
        <v>356</v>
      </c>
      <c r="P1341" t="s">
        <v>351</v>
      </c>
      <c r="Q1341" s="4" t="s">
        <v>245</v>
      </c>
    </row>
    <row r="1342" spans="1:17" x14ac:dyDescent="0.25">
      <c r="A1342" t="s">
        <v>565</v>
      </c>
      <c r="B1342" t="s">
        <v>203</v>
      </c>
      <c r="C1342" s="4">
        <f t="shared" ref="C1342:M1342" si="802">(0.0822572721273277/(0.0328453630665826+0.350336698877979+0.0822572721273277+0.0181224344560457+0.178561789731549)) * 0.325674926607045%</f>
        <v>4.0459413849257129E-4</v>
      </c>
      <c r="D1342" s="4">
        <f t="shared" si="802"/>
        <v>4.0459413849257129E-4</v>
      </c>
      <c r="E1342" s="4">
        <f t="shared" si="802"/>
        <v>4.0459413849257129E-4</v>
      </c>
      <c r="F1342" s="4">
        <f t="shared" si="802"/>
        <v>4.0459413849257129E-4</v>
      </c>
      <c r="G1342" s="4">
        <f t="shared" si="802"/>
        <v>4.0459413849257129E-4</v>
      </c>
      <c r="H1342" s="4">
        <f t="shared" si="802"/>
        <v>4.0459413849257129E-4</v>
      </c>
      <c r="I1342" s="4">
        <f t="shared" si="802"/>
        <v>4.0459413849257129E-4</v>
      </c>
      <c r="J1342" s="4">
        <f t="shared" si="802"/>
        <v>4.0459413849257129E-4</v>
      </c>
      <c r="K1342" s="4">
        <f t="shared" si="802"/>
        <v>4.0459413849257129E-4</v>
      </c>
      <c r="L1342" s="4">
        <f t="shared" si="802"/>
        <v>4.0459413849257129E-4</v>
      </c>
      <c r="M1342" s="4">
        <f t="shared" si="802"/>
        <v>4.0459413849257129E-4</v>
      </c>
      <c r="N1342" t="s">
        <v>256</v>
      </c>
      <c r="O1342" t="s">
        <v>353</v>
      </c>
      <c r="P1342" t="s">
        <v>351</v>
      </c>
      <c r="Q1342" s="4" t="s">
        <v>245</v>
      </c>
    </row>
    <row r="1343" spans="1:17" x14ac:dyDescent="0.25">
      <c r="A1343" t="s">
        <v>565</v>
      </c>
      <c r="B1343" t="s">
        <v>203</v>
      </c>
      <c r="C1343" s="4">
        <f t="shared" ref="C1343:M1343" si="803">(0.0181224344560457/(0.0328453630665826+0.350336698877979+0.0822572721273277+0.0181224344560457+0.178561789731549)) * 0.325674926607045%</f>
        <v>8.9137781578535599E-5</v>
      </c>
      <c r="D1343" s="4">
        <f t="shared" si="803"/>
        <v>8.9137781578535599E-5</v>
      </c>
      <c r="E1343" s="4">
        <f t="shared" si="803"/>
        <v>8.9137781578535599E-5</v>
      </c>
      <c r="F1343" s="4">
        <f t="shared" si="803"/>
        <v>8.9137781578535599E-5</v>
      </c>
      <c r="G1343" s="4">
        <f t="shared" si="803"/>
        <v>8.9137781578535599E-5</v>
      </c>
      <c r="H1343" s="4">
        <f t="shared" si="803"/>
        <v>8.9137781578535599E-5</v>
      </c>
      <c r="I1343" s="4">
        <f t="shared" si="803"/>
        <v>8.9137781578535599E-5</v>
      </c>
      <c r="J1343" s="4">
        <f t="shared" si="803"/>
        <v>8.9137781578535599E-5</v>
      </c>
      <c r="K1343" s="4">
        <f t="shared" si="803"/>
        <v>8.9137781578535599E-5</v>
      </c>
      <c r="L1343" s="4">
        <f t="shared" si="803"/>
        <v>8.9137781578535599E-5</v>
      </c>
      <c r="M1343" s="4">
        <f t="shared" si="803"/>
        <v>8.9137781578535599E-5</v>
      </c>
      <c r="N1343" t="s">
        <v>256</v>
      </c>
      <c r="O1343" t="s">
        <v>280</v>
      </c>
      <c r="P1343" t="s">
        <v>351</v>
      </c>
      <c r="Q1343" s="4" t="s">
        <v>245</v>
      </c>
    </row>
    <row r="1344" spans="1:17" x14ac:dyDescent="0.25">
      <c r="A1344" t="s">
        <v>565</v>
      </c>
      <c r="B1344" t="s">
        <v>203</v>
      </c>
      <c r="C1344" s="4">
        <f t="shared" ref="C1344:M1344" si="804">(0.178561789731549/(0.0328453630665826+0.350336698877979+0.0822572721273277+0.0181224344560457+0.178561789731549)) * 0.325674926607045%</f>
        <v>8.7828165967257163E-4</v>
      </c>
      <c r="D1344" s="4">
        <f t="shared" si="804"/>
        <v>8.7828165967257163E-4</v>
      </c>
      <c r="E1344" s="4">
        <f t="shared" si="804"/>
        <v>8.7828165967257163E-4</v>
      </c>
      <c r="F1344" s="4">
        <f t="shared" si="804"/>
        <v>8.7828165967257163E-4</v>
      </c>
      <c r="G1344" s="4">
        <f t="shared" si="804"/>
        <v>8.7828165967257163E-4</v>
      </c>
      <c r="H1344" s="4">
        <f t="shared" si="804"/>
        <v>8.7828165967257163E-4</v>
      </c>
      <c r="I1344" s="4">
        <f t="shared" si="804"/>
        <v>8.7828165967257163E-4</v>
      </c>
      <c r="J1344" s="4">
        <f t="shared" si="804"/>
        <v>8.7828165967257163E-4</v>
      </c>
      <c r="K1344" s="4">
        <f t="shared" si="804"/>
        <v>8.7828165967257163E-4</v>
      </c>
      <c r="L1344" s="4">
        <f t="shared" si="804"/>
        <v>8.7828165967257163E-4</v>
      </c>
      <c r="M1344" s="4">
        <f t="shared" si="804"/>
        <v>8.7828165967257163E-4</v>
      </c>
      <c r="N1344" t="s">
        <v>256</v>
      </c>
      <c r="O1344" t="s">
        <v>354</v>
      </c>
      <c r="P1344" t="s">
        <v>351</v>
      </c>
      <c r="Q1344" s="4" t="s">
        <v>245</v>
      </c>
    </row>
    <row r="1345" spans="1:17" x14ac:dyDescent="0.25">
      <c r="A1345" t="s">
        <v>565</v>
      </c>
      <c r="B1345" t="s">
        <v>176</v>
      </c>
      <c r="C1345" s="4">
        <f t="shared" ref="C1345:M1345" si="805">(0.0328453630665826/(0.0328453630665826+0.350336698877979+0.0822572721273277+0.0181224344560457+0.178561789731549)) * 0.0197817362827983%</f>
        <v>9.8129465745616924E-6</v>
      </c>
      <c r="D1345" s="4">
        <f t="shared" si="805"/>
        <v>9.8129465745616924E-6</v>
      </c>
      <c r="E1345" s="4">
        <f t="shared" si="805"/>
        <v>9.8129465745616924E-6</v>
      </c>
      <c r="F1345" s="4">
        <f t="shared" si="805"/>
        <v>9.8129465745616924E-6</v>
      </c>
      <c r="G1345" s="4">
        <f t="shared" si="805"/>
        <v>9.8129465745616924E-6</v>
      </c>
      <c r="H1345" s="4">
        <f t="shared" si="805"/>
        <v>9.8129465745616924E-6</v>
      </c>
      <c r="I1345" s="4">
        <f t="shared" si="805"/>
        <v>9.8129465745616924E-6</v>
      </c>
      <c r="J1345" s="4">
        <f t="shared" si="805"/>
        <v>9.8129465745616924E-6</v>
      </c>
      <c r="K1345" s="4">
        <f t="shared" si="805"/>
        <v>9.8129465745616924E-6</v>
      </c>
      <c r="L1345" s="4">
        <f t="shared" si="805"/>
        <v>9.8129465745616924E-6</v>
      </c>
      <c r="M1345" s="4">
        <f t="shared" si="805"/>
        <v>9.8129465745616924E-6</v>
      </c>
      <c r="N1345" t="s">
        <v>242</v>
      </c>
      <c r="O1345" t="s">
        <v>358</v>
      </c>
      <c r="P1345" t="s">
        <v>351</v>
      </c>
      <c r="Q1345" s="4" t="s">
        <v>245</v>
      </c>
    </row>
    <row r="1346" spans="1:17" x14ac:dyDescent="0.25">
      <c r="A1346" t="s">
        <v>565</v>
      </c>
      <c r="B1346" t="s">
        <v>176</v>
      </c>
      <c r="C1346" s="4">
        <f t="shared" ref="C1346:M1346" si="806">(0.350336698877979/(0.0328453630665826+0.350336698877979+0.0822572721273277+0.0181224344560457+0.178561789731549)) * 0.0197817362827983%</f>
        <v>1.0466729511343488E-4</v>
      </c>
      <c r="D1346" s="4">
        <f t="shared" si="806"/>
        <v>1.0466729511343488E-4</v>
      </c>
      <c r="E1346" s="4">
        <f t="shared" si="806"/>
        <v>1.0466729511343488E-4</v>
      </c>
      <c r="F1346" s="4">
        <f t="shared" si="806"/>
        <v>1.0466729511343488E-4</v>
      </c>
      <c r="G1346" s="4">
        <f t="shared" si="806"/>
        <v>1.0466729511343488E-4</v>
      </c>
      <c r="H1346" s="4">
        <f t="shared" si="806"/>
        <v>1.0466729511343488E-4</v>
      </c>
      <c r="I1346" s="4">
        <f t="shared" si="806"/>
        <v>1.0466729511343488E-4</v>
      </c>
      <c r="J1346" s="4">
        <f t="shared" si="806"/>
        <v>1.0466729511343488E-4</v>
      </c>
      <c r="K1346" s="4">
        <f t="shared" si="806"/>
        <v>1.0466729511343488E-4</v>
      </c>
      <c r="L1346" s="4">
        <f t="shared" si="806"/>
        <v>1.0466729511343488E-4</v>
      </c>
      <c r="M1346" s="4">
        <f t="shared" si="806"/>
        <v>1.0466729511343488E-4</v>
      </c>
      <c r="N1346" t="s">
        <v>256</v>
      </c>
      <c r="O1346" t="s">
        <v>356</v>
      </c>
      <c r="P1346" t="s">
        <v>351</v>
      </c>
      <c r="Q1346" s="4" t="s">
        <v>245</v>
      </c>
    </row>
    <row r="1347" spans="1:17" x14ac:dyDescent="0.25">
      <c r="A1347" t="s">
        <v>565</v>
      </c>
      <c r="B1347" t="s">
        <v>176</v>
      </c>
      <c r="C1347" s="4">
        <f t="shared" ref="C1347:M1347" si="807">(0.0822572721273277/(0.0328453630665826+0.350336698877979+0.0822572721273277+0.0181224344560457+0.178561789731549)) * 0.0197817362827983%</f>
        <v>2.4575347671400639E-5</v>
      </c>
      <c r="D1347" s="4">
        <f t="shared" si="807"/>
        <v>2.4575347671400639E-5</v>
      </c>
      <c r="E1347" s="4">
        <f t="shared" si="807"/>
        <v>2.4575347671400639E-5</v>
      </c>
      <c r="F1347" s="4">
        <f t="shared" si="807"/>
        <v>2.4575347671400639E-5</v>
      </c>
      <c r="G1347" s="4">
        <f t="shared" si="807"/>
        <v>2.4575347671400639E-5</v>
      </c>
      <c r="H1347" s="4">
        <f t="shared" si="807"/>
        <v>2.4575347671400639E-5</v>
      </c>
      <c r="I1347" s="4">
        <f t="shared" si="807"/>
        <v>2.4575347671400639E-5</v>
      </c>
      <c r="J1347" s="4">
        <f t="shared" si="807"/>
        <v>2.4575347671400639E-5</v>
      </c>
      <c r="K1347" s="4">
        <f t="shared" si="807"/>
        <v>2.4575347671400639E-5</v>
      </c>
      <c r="L1347" s="4">
        <f t="shared" si="807"/>
        <v>2.4575347671400639E-5</v>
      </c>
      <c r="M1347" s="4">
        <f t="shared" si="807"/>
        <v>2.4575347671400639E-5</v>
      </c>
      <c r="N1347" t="s">
        <v>256</v>
      </c>
      <c r="O1347" t="s">
        <v>353</v>
      </c>
      <c r="P1347" t="s">
        <v>351</v>
      </c>
      <c r="Q1347" s="4" t="s">
        <v>245</v>
      </c>
    </row>
    <row r="1348" spans="1:17" x14ac:dyDescent="0.25">
      <c r="A1348" t="s">
        <v>565</v>
      </c>
      <c r="B1348" t="s">
        <v>176</v>
      </c>
      <c r="C1348" s="4">
        <f t="shared" ref="C1348:M1348" si="808">(0.0181224344560457/(0.0328453630665826+0.350336698877979+0.0822572721273277+0.0181224344560457+0.178561789731549)) * 0.0197817362827983%</f>
        <v>5.4142948810666093E-6</v>
      </c>
      <c r="D1348" s="4">
        <f t="shared" si="808"/>
        <v>5.4142948810666093E-6</v>
      </c>
      <c r="E1348" s="4">
        <f t="shared" si="808"/>
        <v>5.4142948810666093E-6</v>
      </c>
      <c r="F1348" s="4">
        <f t="shared" si="808"/>
        <v>5.4142948810666093E-6</v>
      </c>
      <c r="G1348" s="4">
        <f t="shared" si="808"/>
        <v>5.4142948810666093E-6</v>
      </c>
      <c r="H1348" s="4">
        <f t="shared" si="808"/>
        <v>5.4142948810666093E-6</v>
      </c>
      <c r="I1348" s="4">
        <f t="shared" si="808"/>
        <v>5.4142948810666093E-6</v>
      </c>
      <c r="J1348" s="4">
        <f t="shared" si="808"/>
        <v>5.4142948810666093E-6</v>
      </c>
      <c r="K1348" s="4">
        <f t="shared" si="808"/>
        <v>5.4142948810666093E-6</v>
      </c>
      <c r="L1348" s="4">
        <f t="shared" si="808"/>
        <v>5.4142948810666093E-6</v>
      </c>
      <c r="M1348" s="4">
        <f t="shared" si="808"/>
        <v>5.4142948810666093E-6</v>
      </c>
      <c r="N1348" t="s">
        <v>256</v>
      </c>
      <c r="O1348" t="s">
        <v>280</v>
      </c>
      <c r="P1348" t="s">
        <v>351</v>
      </c>
      <c r="Q1348" s="4" t="s">
        <v>245</v>
      </c>
    </row>
    <row r="1349" spans="1:17" x14ac:dyDescent="0.25">
      <c r="A1349" t="s">
        <v>565</v>
      </c>
      <c r="B1349" t="s">
        <v>176</v>
      </c>
      <c r="C1349" s="4">
        <f t="shared" ref="C1349:M1349" si="809">(0.178561789731549/(0.0328453630665826+0.350336698877979+0.0822572721273277+0.0181224344560457+0.178561789731549)) * 0.0197817362827983%</f>
        <v>5.3347478587519193E-5</v>
      </c>
      <c r="D1349" s="4">
        <f t="shared" si="809"/>
        <v>5.3347478587519193E-5</v>
      </c>
      <c r="E1349" s="4">
        <f t="shared" si="809"/>
        <v>5.3347478587519193E-5</v>
      </c>
      <c r="F1349" s="4">
        <f t="shared" si="809"/>
        <v>5.3347478587519193E-5</v>
      </c>
      <c r="G1349" s="4">
        <f t="shared" si="809"/>
        <v>5.3347478587519193E-5</v>
      </c>
      <c r="H1349" s="4">
        <f t="shared" si="809"/>
        <v>5.3347478587519193E-5</v>
      </c>
      <c r="I1349" s="4">
        <f t="shared" si="809"/>
        <v>5.3347478587519193E-5</v>
      </c>
      <c r="J1349" s="4">
        <f t="shared" si="809"/>
        <v>5.3347478587519193E-5</v>
      </c>
      <c r="K1349" s="4">
        <f t="shared" si="809"/>
        <v>5.3347478587519193E-5</v>
      </c>
      <c r="L1349" s="4">
        <f t="shared" si="809"/>
        <v>5.3347478587519193E-5</v>
      </c>
      <c r="M1349" s="4">
        <f t="shared" si="809"/>
        <v>5.3347478587519193E-5</v>
      </c>
      <c r="N1349" t="s">
        <v>256</v>
      </c>
      <c r="O1349" t="s">
        <v>354</v>
      </c>
      <c r="P1349" t="s">
        <v>351</v>
      </c>
      <c r="Q1349" s="4" t="s">
        <v>245</v>
      </c>
    </row>
    <row r="1350" spans="1:17" x14ac:dyDescent="0.25">
      <c r="A1350" t="s">
        <v>565</v>
      </c>
      <c r="B1350" t="s">
        <v>133</v>
      </c>
      <c r="C1350" s="4">
        <f t="shared" ref="C1350:M1350" si="810">(0.0328453630665826/(0.0328453630665826+0.350336698877979+0.0822572721273277+0.0181224344560457+0.178561789731549)) * 0.0000180930514781691%</f>
        <v>8.9752560133185838E-9</v>
      </c>
      <c r="D1350" s="4">
        <f t="shared" si="810"/>
        <v>8.9752560133185838E-9</v>
      </c>
      <c r="E1350" s="4">
        <f t="shared" si="810"/>
        <v>8.9752560133185838E-9</v>
      </c>
      <c r="F1350" s="4">
        <f t="shared" si="810"/>
        <v>8.9752560133185838E-9</v>
      </c>
      <c r="G1350" s="4">
        <f t="shared" si="810"/>
        <v>8.9752560133185838E-9</v>
      </c>
      <c r="H1350" s="4">
        <f t="shared" si="810"/>
        <v>8.9752560133185838E-9</v>
      </c>
      <c r="I1350" s="4">
        <f t="shared" si="810"/>
        <v>8.9752560133185838E-9</v>
      </c>
      <c r="J1350" s="4">
        <f t="shared" si="810"/>
        <v>8.9752560133185838E-9</v>
      </c>
      <c r="K1350" s="4">
        <f t="shared" si="810"/>
        <v>8.9752560133185838E-9</v>
      </c>
      <c r="L1350" s="4">
        <f t="shared" si="810"/>
        <v>8.9752560133185838E-9</v>
      </c>
      <c r="M1350" s="4">
        <f t="shared" si="810"/>
        <v>8.9752560133185838E-9</v>
      </c>
      <c r="N1350" t="s">
        <v>242</v>
      </c>
      <c r="O1350" t="s">
        <v>358</v>
      </c>
      <c r="P1350" t="s">
        <v>351</v>
      </c>
      <c r="Q1350" s="4" t="s">
        <v>245</v>
      </c>
    </row>
    <row r="1351" spans="1:17" x14ac:dyDescent="0.25">
      <c r="A1351" t="s">
        <v>565</v>
      </c>
      <c r="B1351" t="s">
        <v>133</v>
      </c>
      <c r="C1351" s="4">
        <f t="shared" ref="C1351:M1351" si="811">(0.350336698877979/(0.0328453630665826+0.350336698877979+0.0822572721273277+0.0181224344560457+0.178561789731549)) * 0.0000180930514781691%</f>
        <v>9.5732282115946135E-8</v>
      </c>
      <c r="D1351" s="4">
        <f t="shared" si="811"/>
        <v>9.5732282115946135E-8</v>
      </c>
      <c r="E1351" s="4">
        <f t="shared" si="811"/>
        <v>9.5732282115946135E-8</v>
      </c>
      <c r="F1351" s="4">
        <f t="shared" si="811"/>
        <v>9.5732282115946135E-8</v>
      </c>
      <c r="G1351" s="4">
        <f t="shared" si="811"/>
        <v>9.5732282115946135E-8</v>
      </c>
      <c r="H1351" s="4">
        <f t="shared" si="811"/>
        <v>9.5732282115946135E-8</v>
      </c>
      <c r="I1351" s="4">
        <f t="shared" si="811"/>
        <v>9.5732282115946135E-8</v>
      </c>
      <c r="J1351" s="4">
        <f t="shared" si="811"/>
        <v>9.5732282115946135E-8</v>
      </c>
      <c r="K1351" s="4">
        <f t="shared" si="811"/>
        <v>9.5732282115946135E-8</v>
      </c>
      <c r="L1351" s="4">
        <f t="shared" si="811"/>
        <v>9.5732282115946135E-8</v>
      </c>
      <c r="M1351" s="4">
        <f t="shared" si="811"/>
        <v>9.5732282115946135E-8</v>
      </c>
      <c r="N1351" t="s">
        <v>256</v>
      </c>
      <c r="O1351" t="s">
        <v>356</v>
      </c>
      <c r="P1351" t="s">
        <v>351</v>
      </c>
      <c r="Q1351" s="4" t="s">
        <v>245</v>
      </c>
    </row>
    <row r="1352" spans="1:17" x14ac:dyDescent="0.25">
      <c r="A1352" t="s">
        <v>565</v>
      </c>
      <c r="B1352" t="s">
        <v>133</v>
      </c>
      <c r="C1352" s="4">
        <f t="shared" ref="C1352:M1352" si="812">(0.0822572721273277/(0.0328453630665826+0.350336698877979+0.0822572721273277+0.0181224344560457+0.178561789731549)) * 0.0000180930514781691%</f>
        <v>2.2477452138476098E-8</v>
      </c>
      <c r="D1352" s="4">
        <f t="shared" si="812"/>
        <v>2.2477452138476098E-8</v>
      </c>
      <c r="E1352" s="4">
        <f t="shared" si="812"/>
        <v>2.2477452138476098E-8</v>
      </c>
      <c r="F1352" s="4">
        <f t="shared" si="812"/>
        <v>2.2477452138476098E-8</v>
      </c>
      <c r="G1352" s="4">
        <f t="shared" si="812"/>
        <v>2.2477452138476098E-8</v>
      </c>
      <c r="H1352" s="4">
        <f t="shared" si="812"/>
        <v>2.2477452138476098E-8</v>
      </c>
      <c r="I1352" s="4">
        <f t="shared" si="812"/>
        <v>2.2477452138476098E-8</v>
      </c>
      <c r="J1352" s="4">
        <f t="shared" si="812"/>
        <v>2.2477452138476098E-8</v>
      </c>
      <c r="K1352" s="4">
        <f t="shared" si="812"/>
        <v>2.2477452138476098E-8</v>
      </c>
      <c r="L1352" s="4">
        <f t="shared" si="812"/>
        <v>2.2477452138476098E-8</v>
      </c>
      <c r="M1352" s="4">
        <f t="shared" si="812"/>
        <v>2.2477452138476098E-8</v>
      </c>
      <c r="N1352" t="s">
        <v>256</v>
      </c>
      <c r="O1352" t="s">
        <v>353</v>
      </c>
      <c r="P1352" t="s">
        <v>351</v>
      </c>
      <c r="Q1352" s="4" t="s">
        <v>245</v>
      </c>
    </row>
    <row r="1353" spans="1:17" x14ac:dyDescent="0.25">
      <c r="A1353" t="s">
        <v>565</v>
      </c>
      <c r="B1353" t="s">
        <v>133</v>
      </c>
      <c r="C1353" s="4">
        <f t="shared" ref="C1353:M1353" si="813">(0.0181224344560457/(0.0328453630665826+0.350336698877979+0.0822572721273277+0.0181224344560457+0.178561789731549)) * 0.0000180930514781691%</f>
        <v>4.9520989765852924E-9</v>
      </c>
      <c r="D1353" s="4">
        <f t="shared" si="813"/>
        <v>4.9520989765852924E-9</v>
      </c>
      <c r="E1353" s="4">
        <f t="shared" si="813"/>
        <v>4.9520989765852924E-9</v>
      </c>
      <c r="F1353" s="4">
        <f t="shared" si="813"/>
        <v>4.9520989765852924E-9</v>
      </c>
      <c r="G1353" s="4">
        <f t="shared" si="813"/>
        <v>4.9520989765852924E-9</v>
      </c>
      <c r="H1353" s="4">
        <f t="shared" si="813"/>
        <v>4.9520989765852924E-9</v>
      </c>
      <c r="I1353" s="4">
        <f t="shared" si="813"/>
        <v>4.9520989765852924E-9</v>
      </c>
      <c r="J1353" s="4">
        <f t="shared" si="813"/>
        <v>4.9520989765852924E-9</v>
      </c>
      <c r="K1353" s="4">
        <f t="shared" si="813"/>
        <v>4.9520989765852924E-9</v>
      </c>
      <c r="L1353" s="4">
        <f t="shared" si="813"/>
        <v>4.9520989765852924E-9</v>
      </c>
      <c r="M1353" s="4">
        <f t="shared" si="813"/>
        <v>4.9520989765852924E-9</v>
      </c>
      <c r="N1353" t="s">
        <v>256</v>
      </c>
      <c r="O1353" t="s">
        <v>280</v>
      </c>
      <c r="P1353" t="s">
        <v>351</v>
      </c>
      <c r="Q1353" s="4" t="s">
        <v>245</v>
      </c>
    </row>
    <row r="1354" spans="1:17" x14ac:dyDescent="0.25">
      <c r="A1354" t="s">
        <v>565</v>
      </c>
      <c r="B1354" t="s">
        <v>133</v>
      </c>
      <c r="C1354" s="4">
        <f t="shared" ref="C1354:M1354" si="814">(0.178561789731549/(0.0328453630665826+0.350336698877979+0.0822572721273277+0.0181224344560457+0.178561789731549)) * 0.0000180930514781691%</f>
        <v>4.8793425537364907E-8</v>
      </c>
      <c r="D1354" s="4">
        <f t="shared" si="814"/>
        <v>4.8793425537364907E-8</v>
      </c>
      <c r="E1354" s="4">
        <f t="shared" si="814"/>
        <v>4.8793425537364907E-8</v>
      </c>
      <c r="F1354" s="4">
        <f t="shared" si="814"/>
        <v>4.8793425537364907E-8</v>
      </c>
      <c r="G1354" s="4">
        <f t="shared" si="814"/>
        <v>4.8793425537364907E-8</v>
      </c>
      <c r="H1354" s="4">
        <f t="shared" si="814"/>
        <v>4.8793425537364907E-8</v>
      </c>
      <c r="I1354" s="4">
        <f t="shared" si="814"/>
        <v>4.8793425537364907E-8</v>
      </c>
      <c r="J1354" s="4">
        <f t="shared" si="814"/>
        <v>4.8793425537364907E-8</v>
      </c>
      <c r="K1354" s="4">
        <f t="shared" si="814"/>
        <v>4.8793425537364907E-8</v>
      </c>
      <c r="L1354" s="4">
        <f t="shared" si="814"/>
        <v>4.8793425537364907E-8</v>
      </c>
      <c r="M1354" s="4">
        <f t="shared" si="814"/>
        <v>4.8793425537364907E-8</v>
      </c>
      <c r="N1354" t="s">
        <v>256</v>
      </c>
      <c r="O1354" t="s">
        <v>354</v>
      </c>
      <c r="P1354" t="s">
        <v>351</v>
      </c>
      <c r="Q1354" s="4" t="s">
        <v>245</v>
      </c>
    </row>
    <row r="1355" spans="1:17" x14ac:dyDescent="0.25">
      <c r="A1355" t="s">
        <v>565</v>
      </c>
      <c r="B1355" t="s">
        <v>177</v>
      </c>
      <c r="C1355" s="4">
        <f t="shared" ref="C1355:M1355" si="815">(0.0328453630665826/(0.0328453630665826+0.350336698877979+0.0822572721273277+0.0181224344560457+0.178561789731549)) * 0.056733778418379%</f>
        <v>2.8143411105762681E-5</v>
      </c>
      <c r="D1355" s="4">
        <f t="shared" si="815"/>
        <v>2.8143411105762681E-5</v>
      </c>
      <c r="E1355" s="4">
        <f t="shared" si="815"/>
        <v>2.8143411105762681E-5</v>
      </c>
      <c r="F1355" s="4">
        <f t="shared" si="815"/>
        <v>2.8143411105762681E-5</v>
      </c>
      <c r="G1355" s="4">
        <f t="shared" si="815"/>
        <v>2.8143411105762681E-5</v>
      </c>
      <c r="H1355" s="4">
        <f t="shared" si="815"/>
        <v>2.8143411105762681E-5</v>
      </c>
      <c r="I1355" s="4">
        <f t="shared" si="815"/>
        <v>2.8143411105762681E-5</v>
      </c>
      <c r="J1355" s="4">
        <f t="shared" si="815"/>
        <v>2.8143411105762681E-5</v>
      </c>
      <c r="K1355" s="4">
        <f t="shared" si="815"/>
        <v>2.8143411105762681E-5</v>
      </c>
      <c r="L1355" s="4">
        <f t="shared" si="815"/>
        <v>2.8143411105762681E-5</v>
      </c>
      <c r="M1355" s="4">
        <f t="shared" si="815"/>
        <v>2.8143411105762681E-5</v>
      </c>
      <c r="N1355" t="s">
        <v>242</v>
      </c>
      <c r="O1355" t="s">
        <v>358</v>
      </c>
      <c r="P1355" t="s">
        <v>351</v>
      </c>
      <c r="Q1355" s="4" t="s">
        <v>245</v>
      </c>
    </row>
    <row r="1356" spans="1:17" x14ac:dyDescent="0.25">
      <c r="A1356" t="s">
        <v>565</v>
      </c>
      <c r="B1356" t="s">
        <v>177</v>
      </c>
      <c r="C1356" s="4">
        <f t="shared" ref="C1356:M1356" si="816">(0.350336698877979/(0.0328453630665826+0.350336698877979+0.0822572721273277+0.0181224344560457+0.178561789731549)) * 0.056733778418379%</f>
        <v>3.0018452595490219E-4</v>
      </c>
      <c r="D1356" s="4">
        <f t="shared" si="816"/>
        <v>3.0018452595490219E-4</v>
      </c>
      <c r="E1356" s="4">
        <f t="shared" si="816"/>
        <v>3.0018452595490219E-4</v>
      </c>
      <c r="F1356" s="4">
        <f t="shared" si="816"/>
        <v>3.0018452595490219E-4</v>
      </c>
      <c r="G1356" s="4">
        <f t="shared" si="816"/>
        <v>3.0018452595490219E-4</v>
      </c>
      <c r="H1356" s="4">
        <f t="shared" si="816"/>
        <v>3.0018452595490219E-4</v>
      </c>
      <c r="I1356" s="4">
        <f t="shared" si="816"/>
        <v>3.0018452595490219E-4</v>
      </c>
      <c r="J1356" s="4">
        <f t="shared" si="816"/>
        <v>3.0018452595490219E-4</v>
      </c>
      <c r="K1356" s="4">
        <f t="shared" si="816"/>
        <v>3.0018452595490219E-4</v>
      </c>
      <c r="L1356" s="4">
        <f t="shared" si="816"/>
        <v>3.0018452595490219E-4</v>
      </c>
      <c r="M1356" s="4">
        <f t="shared" si="816"/>
        <v>3.0018452595490219E-4</v>
      </c>
      <c r="N1356" t="s">
        <v>256</v>
      </c>
      <c r="O1356" t="s">
        <v>356</v>
      </c>
      <c r="P1356" t="s">
        <v>351</v>
      </c>
      <c r="Q1356" s="4" t="s">
        <v>245</v>
      </c>
    </row>
    <row r="1357" spans="1:17" x14ac:dyDescent="0.25">
      <c r="A1357" t="s">
        <v>565</v>
      </c>
      <c r="B1357" t="s">
        <v>177</v>
      </c>
      <c r="C1357" s="4">
        <f t="shared" ref="C1357:M1357" si="817">(0.0822572721273277/(0.0328453630665826+0.350336698877979+0.0822572721273277+0.0181224344560457+0.178561789731549)) * 0.056733778418379%</f>
        <v>7.0481797422215003E-5</v>
      </c>
      <c r="D1357" s="4">
        <f t="shared" si="817"/>
        <v>7.0481797422215003E-5</v>
      </c>
      <c r="E1357" s="4">
        <f t="shared" si="817"/>
        <v>7.0481797422215003E-5</v>
      </c>
      <c r="F1357" s="4">
        <f t="shared" si="817"/>
        <v>7.0481797422215003E-5</v>
      </c>
      <c r="G1357" s="4">
        <f t="shared" si="817"/>
        <v>7.0481797422215003E-5</v>
      </c>
      <c r="H1357" s="4">
        <f t="shared" si="817"/>
        <v>7.0481797422215003E-5</v>
      </c>
      <c r="I1357" s="4">
        <f t="shared" si="817"/>
        <v>7.0481797422215003E-5</v>
      </c>
      <c r="J1357" s="4">
        <f t="shared" si="817"/>
        <v>7.0481797422215003E-5</v>
      </c>
      <c r="K1357" s="4">
        <f t="shared" si="817"/>
        <v>7.0481797422215003E-5</v>
      </c>
      <c r="L1357" s="4">
        <f t="shared" si="817"/>
        <v>7.0481797422215003E-5</v>
      </c>
      <c r="M1357" s="4">
        <f t="shared" si="817"/>
        <v>7.0481797422215003E-5</v>
      </c>
      <c r="N1357" t="s">
        <v>256</v>
      </c>
      <c r="O1357" t="s">
        <v>353</v>
      </c>
      <c r="P1357" t="s">
        <v>351</v>
      </c>
      <c r="Q1357" s="4" t="s">
        <v>245</v>
      </c>
    </row>
    <row r="1358" spans="1:17" x14ac:dyDescent="0.25">
      <c r="A1358" t="s">
        <v>565</v>
      </c>
      <c r="B1358" t="s">
        <v>177</v>
      </c>
      <c r="C1358" s="4">
        <f t="shared" ref="C1358:M1358" si="818">(0.0181224344560457/(0.0328453630665826+0.350336698877979+0.0822572721273277+0.0181224344560457+0.178561789731549)) * 0.056733778418379%</f>
        <v>1.5528131690912638E-5</v>
      </c>
      <c r="D1358" s="4">
        <f t="shared" si="818"/>
        <v>1.5528131690912638E-5</v>
      </c>
      <c r="E1358" s="4">
        <f t="shared" si="818"/>
        <v>1.5528131690912638E-5</v>
      </c>
      <c r="F1358" s="4">
        <f t="shared" si="818"/>
        <v>1.5528131690912638E-5</v>
      </c>
      <c r="G1358" s="4">
        <f t="shared" si="818"/>
        <v>1.5528131690912638E-5</v>
      </c>
      <c r="H1358" s="4">
        <f t="shared" si="818"/>
        <v>1.5528131690912638E-5</v>
      </c>
      <c r="I1358" s="4">
        <f t="shared" si="818"/>
        <v>1.5528131690912638E-5</v>
      </c>
      <c r="J1358" s="4">
        <f t="shared" si="818"/>
        <v>1.5528131690912638E-5</v>
      </c>
      <c r="K1358" s="4">
        <f t="shared" si="818"/>
        <v>1.5528131690912638E-5</v>
      </c>
      <c r="L1358" s="4">
        <f t="shared" si="818"/>
        <v>1.5528131690912638E-5</v>
      </c>
      <c r="M1358" s="4">
        <f t="shared" si="818"/>
        <v>1.5528131690912638E-5</v>
      </c>
      <c r="N1358" t="s">
        <v>256</v>
      </c>
      <c r="O1358" t="s">
        <v>280</v>
      </c>
      <c r="P1358" t="s">
        <v>351</v>
      </c>
      <c r="Q1358" s="4" t="s">
        <v>245</v>
      </c>
    </row>
    <row r="1359" spans="1:17" x14ac:dyDescent="0.25">
      <c r="A1359" t="s">
        <v>565</v>
      </c>
      <c r="B1359" t="s">
        <v>177</v>
      </c>
      <c r="C1359" s="4">
        <f t="shared" ref="C1359:M1359" si="819">(0.178561789731549/(0.0328453630665826+0.350336698877979+0.0822572721273277+0.0181224344560457+0.178561789731549)) * 0.056733778418379%</f>
        <v>1.5299991800999746E-4</v>
      </c>
      <c r="D1359" s="4">
        <f t="shared" si="819"/>
        <v>1.5299991800999746E-4</v>
      </c>
      <c r="E1359" s="4">
        <f t="shared" si="819"/>
        <v>1.5299991800999746E-4</v>
      </c>
      <c r="F1359" s="4">
        <f t="shared" si="819"/>
        <v>1.5299991800999746E-4</v>
      </c>
      <c r="G1359" s="4">
        <f t="shared" si="819"/>
        <v>1.5299991800999746E-4</v>
      </c>
      <c r="H1359" s="4">
        <f t="shared" si="819"/>
        <v>1.5299991800999746E-4</v>
      </c>
      <c r="I1359" s="4">
        <f t="shared" si="819"/>
        <v>1.5299991800999746E-4</v>
      </c>
      <c r="J1359" s="4">
        <f t="shared" si="819"/>
        <v>1.5299991800999746E-4</v>
      </c>
      <c r="K1359" s="4">
        <f t="shared" si="819"/>
        <v>1.5299991800999746E-4</v>
      </c>
      <c r="L1359" s="4">
        <f t="shared" si="819"/>
        <v>1.5299991800999746E-4</v>
      </c>
      <c r="M1359" s="4">
        <f t="shared" si="819"/>
        <v>1.5299991800999746E-4</v>
      </c>
      <c r="N1359" t="s">
        <v>256</v>
      </c>
      <c r="O1359" t="s">
        <v>354</v>
      </c>
      <c r="P1359" t="s">
        <v>351</v>
      </c>
      <c r="Q1359" s="4" t="s">
        <v>245</v>
      </c>
    </row>
    <row r="1360" spans="1:17" x14ac:dyDescent="0.25">
      <c r="A1360" t="s">
        <v>565</v>
      </c>
      <c r="B1360" t="s">
        <v>155</v>
      </c>
      <c r="C1360" s="4">
        <v>1.8044441479864459E-2</v>
      </c>
      <c r="D1360" s="4">
        <v>1.8044441479864459E-2</v>
      </c>
      <c r="E1360" s="4">
        <v>1.8044441479864459E-2</v>
      </c>
      <c r="F1360" s="4">
        <v>1.8044441479864459E-2</v>
      </c>
      <c r="G1360" s="4">
        <v>1.8044441479864459E-2</v>
      </c>
      <c r="H1360" s="4">
        <v>1.8044441479864459E-2</v>
      </c>
      <c r="I1360" s="4">
        <v>1.8044441479864459E-2</v>
      </c>
      <c r="J1360" s="4">
        <v>1.8044441479864459E-2</v>
      </c>
      <c r="K1360" s="4">
        <v>1.8044441479864459E-2</v>
      </c>
      <c r="L1360" s="4">
        <v>1.8044441479864459E-2</v>
      </c>
      <c r="M1360" s="4">
        <v>1.8044441479864459E-2</v>
      </c>
      <c r="N1360" t="s">
        <v>355</v>
      </c>
      <c r="O1360" t="s">
        <v>353</v>
      </c>
      <c r="P1360" t="s">
        <v>351</v>
      </c>
      <c r="Q1360" s="4" t="s">
        <v>245</v>
      </c>
    </row>
    <row r="1361" spans="1:17" x14ac:dyDescent="0.25">
      <c r="A1361" t="s">
        <v>565</v>
      </c>
      <c r="B1361" t="s">
        <v>146</v>
      </c>
      <c r="C1361" s="4">
        <f t="shared" ref="C1361:M1361" si="820">(0.0328453630665826/(0.0328453630665826+0.350336698877979+0.0822572721273277+0.0181224344560457+0.178561789731549)) * 3.65013442232596%</f>
        <v>1.810689090390927E-3</v>
      </c>
      <c r="D1361" s="4">
        <f t="shared" si="820"/>
        <v>1.810689090390927E-3</v>
      </c>
      <c r="E1361" s="4">
        <f t="shared" si="820"/>
        <v>1.810689090390927E-3</v>
      </c>
      <c r="F1361" s="4">
        <f t="shared" si="820"/>
        <v>1.810689090390927E-3</v>
      </c>
      <c r="G1361" s="4">
        <f t="shared" si="820"/>
        <v>1.810689090390927E-3</v>
      </c>
      <c r="H1361" s="4">
        <f t="shared" si="820"/>
        <v>1.810689090390927E-3</v>
      </c>
      <c r="I1361" s="4">
        <f t="shared" si="820"/>
        <v>1.810689090390927E-3</v>
      </c>
      <c r="J1361" s="4">
        <f t="shared" si="820"/>
        <v>1.810689090390927E-3</v>
      </c>
      <c r="K1361" s="4">
        <f t="shared" si="820"/>
        <v>1.810689090390927E-3</v>
      </c>
      <c r="L1361" s="4">
        <f t="shared" si="820"/>
        <v>1.810689090390927E-3</v>
      </c>
      <c r="M1361" s="4">
        <f t="shared" si="820"/>
        <v>1.810689090390927E-3</v>
      </c>
      <c r="N1361" t="s">
        <v>242</v>
      </c>
      <c r="O1361" t="s">
        <v>358</v>
      </c>
      <c r="P1361" t="s">
        <v>351</v>
      </c>
      <c r="Q1361" s="4" t="s">
        <v>245</v>
      </c>
    </row>
    <row r="1362" spans="1:17" x14ac:dyDescent="0.25">
      <c r="A1362" t="s">
        <v>565</v>
      </c>
      <c r="B1362" t="s">
        <v>146</v>
      </c>
      <c r="C1362" s="4">
        <f t="shared" ref="C1362:M1362" si="821">(0.350336698877979/(0.0328453630665826+0.350336698877979+0.0822572721273277+0.0181224344560457+0.178561789731549)) * 3.65013442232596%</f>
        <v>1.9313253969395962E-2</v>
      </c>
      <c r="D1362" s="4">
        <f t="shared" si="821"/>
        <v>1.9313253969395962E-2</v>
      </c>
      <c r="E1362" s="4">
        <f t="shared" si="821"/>
        <v>1.9313253969395962E-2</v>
      </c>
      <c r="F1362" s="4">
        <f t="shared" si="821"/>
        <v>1.9313253969395962E-2</v>
      </c>
      <c r="G1362" s="4">
        <f t="shared" si="821"/>
        <v>1.9313253969395962E-2</v>
      </c>
      <c r="H1362" s="4">
        <f t="shared" si="821"/>
        <v>1.9313253969395962E-2</v>
      </c>
      <c r="I1362" s="4">
        <f t="shared" si="821"/>
        <v>1.9313253969395962E-2</v>
      </c>
      <c r="J1362" s="4">
        <f t="shared" si="821"/>
        <v>1.9313253969395962E-2</v>
      </c>
      <c r="K1362" s="4">
        <f t="shared" si="821"/>
        <v>1.9313253969395962E-2</v>
      </c>
      <c r="L1362" s="4">
        <f t="shared" si="821"/>
        <v>1.9313253969395962E-2</v>
      </c>
      <c r="M1362" s="4">
        <f t="shared" si="821"/>
        <v>1.9313253969395962E-2</v>
      </c>
      <c r="N1362" t="s">
        <v>256</v>
      </c>
      <c r="O1362" t="s">
        <v>356</v>
      </c>
      <c r="P1362" t="s">
        <v>351</v>
      </c>
      <c r="Q1362" s="4" t="s">
        <v>245</v>
      </c>
    </row>
    <row r="1363" spans="1:17" x14ac:dyDescent="0.25">
      <c r="A1363" t="s">
        <v>565</v>
      </c>
      <c r="B1363" t="s">
        <v>146</v>
      </c>
      <c r="C1363" s="4">
        <f t="shared" ref="C1363:M1363" si="822">(0.0822572721273277/(0.0328453630665826+0.350336698877979+0.0822572721273277+0.0181224344560457+0.178561789731549)) * 3.65013442232596%</f>
        <v>4.5346536418045032E-3</v>
      </c>
      <c r="D1363" s="4">
        <f t="shared" si="822"/>
        <v>4.5346536418045032E-3</v>
      </c>
      <c r="E1363" s="4">
        <f t="shared" si="822"/>
        <v>4.5346536418045032E-3</v>
      </c>
      <c r="F1363" s="4">
        <f t="shared" si="822"/>
        <v>4.5346536418045032E-3</v>
      </c>
      <c r="G1363" s="4">
        <f t="shared" si="822"/>
        <v>4.5346536418045032E-3</v>
      </c>
      <c r="H1363" s="4">
        <f t="shared" si="822"/>
        <v>4.5346536418045032E-3</v>
      </c>
      <c r="I1363" s="4">
        <f t="shared" si="822"/>
        <v>4.5346536418045032E-3</v>
      </c>
      <c r="J1363" s="4">
        <f t="shared" si="822"/>
        <v>4.5346536418045032E-3</v>
      </c>
      <c r="K1363" s="4">
        <f t="shared" si="822"/>
        <v>4.5346536418045032E-3</v>
      </c>
      <c r="L1363" s="4">
        <f t="shared" si="822"/>
        <v>4.5346536418045032E-3</v>
      </c>
      <c r="M1363" s="4">
        <f t="shared" si="822"/>
        <v>4.5346536418045032E-3</v>
      </c>
      <c r="N1363" t="s">
        <v>256</v>
      </c>
      <c r="O1363" t="s">
        <v>353</v>
      </c>
      <c r="P1363" t="s">
        <v>351</v>
      </c>
      <c r="Q1363" s="4" t="s">
        <v>245</v>
      </c>
    </row>
    <row r="1364" spans="1:17" x14ac:dyDescent="0.25">
      <c r="A1364" t="s">
        <v>565</v>
      </c>
      <c r="B1364" t="s">
        <v>146</v>
      </c>
      <c r="C1364" s="4">
        <f t="shared" ref="C1364:M1364" si="823">(0.0181224344560457/(0.0328453630665826+0.350336698877979+0.0822572721273277+0.0181224344560457+0.178561789731549)) * 3.65013442232596%</f>
        <v>9.9904800243393152E-4</v>
      </c>
      <c r="D1364" s="4">
        <f t="shared" si="823"/>
        <v>9.9904800243393152E-4</v>
      </c>
      <c r="E1364" s="4">
        <f t="shared" si="823"/>
        <v>9.9904800243393152E-4</v>
      </c>
      <c r="F1364" s="4">
        <f t="shared" si="823"/>
        <v>9.9904800243393152E-4</v>
      </c>
      <c r="G1364" s="4">
        <f t="shared" si="823"/>
        <v>9.9904800243393152E-4</v>
      </c>
      <c r="H1364" s="4">
        <f t="shared" si="823"/>
        <v>9.9904800243393152E-4</v>
      </c>
      <c r="I1364" s="4">
        <f t="shared" si="823"/>
        <v>9.9904800243393152E-4</v>
      </c>
      <c r="J1364" s="4">
        <f t="shared" si="823"/>
        <v>9.9904800243393152E-4</v>
      </c>
      <c r="K1364" s="4">
        <f t="shared" si="823"/>
        <v>9.9904800243393152E-4</v>
      </c>
      <c r="L1364" s="4">
        <f t="shared" si="823"/>
        <v>9.9904800243393152E-4</v>
      </c>
      <c r="M1364" s="4">
        <f t="shared" si="823"/>
        <v>9.9904800243393152E-4</v>
      </c>
      <c r="N1364" t="s">
        <v>256</v>
      </c>
      <c r="O1364" t="s">
        <v>280</v>
      </c>
      <c r="P1364" t="s">
        <v>351</v>
      </c>
      <c r="Q1364" s="4" t="s">
        <v>245</v>
      </c>
    </row>
    <row r="1365" spans="1:17" x14ac:dyDescent="0.25">
      <c r="A1365" t="s">
        <v>565</v>
      </c>
      <c r="B1365" t="s">
        <v>146</v>
      </c>
      <c r="C1365" s="4">
        <f t="shared" ref="C1365:M1365" si="824">(0.178561789731549/(0.0328453630665826+0.350336698877979+0.0822572721273277+0.0181224344560457+0.178561789731549)) * 3.65013442232596%</f>
        <v>9.8436995192342763E-3</v>
      </c>
      <c r="D1365" s="4">
        <f t="shared" si="824"/>
        <v>9.8436995192342763E-3</v>
      </c>
      <c r="E1365" s="4">
        <f t="shared" si="824"/>
        <v>9.8436995192342763E-3</v>
      </c>
      <c r="F1365" s="4">
        <f t="shared" si="824"/>
        <v>9.8436995192342763E-3</v>
      </c>
      <c r="G1365" s="4">
        <f t="shared" si="824"/>
        <v>9.8436995192342763E-3</v>
      </c>
      <c r="H1365" s="4">
        <f t="shared" si="824"/>
        <v>9.8436995192342763E-3</v>
      </c>
      <c r="I1365" s="4">
        <f t="shared" si="824"/>
        <v>9.8436995192342763E-3</v>
      </c>
      <c r="J1365" s="4">
        <f t="shared" si="824"/>
        <v>9.8436995192342763E-3</v>
      </c>
      <c r="K1365" s="4">
        <f t="shared" si="824"/>
        <v>9.8436995192342763E-3</v>
      </c>
      <c r="L1365" s="4">
        <f t="shared" si="824"/>
        <v>9.8436995192342763E-3</v>
      </c>
      <c r="M1365" s="4">
        <f t="shared" si="824"/>
        <v>9.8436995192342763E-3</v>
      </c>
      <c r="N1365" t="s">
        <v>256</v>
      </c>
      <c r="O1365" t="s">
        <v>354</v>
      </c>
      <c r="P1365" t="s">
        <v>351</v>
      </c>
      <c r="Q1365" s="4" t="s">
        <v>245</v>
      </c>
    </row>
    <row r="1366" spans="1:17" x14ac:dyDescent="0.25">
      <c r="A1366" t="s">
        <v>565</v>
      </c>
      <c r="B1366" t="s">
        <v>156</v>
      </c>
      <c r="C1366" s="4">
        <f t="shared" ref="C1366:M1366" si="825">(0.0328453630665826/(0.0328453630665826+0.350336698877979+0.0822572721273277+0.0181224344560457+0.178561789731549)) * 0.645662604032784%</f>
        <v>3.2028799433928299E-4</v>
      </c>
      <c r="D1366" s="4">
        <f t="shared" si="825"/>
        <v>3.2028799433928299E-4</v>
      </c>
      <c r="E1366" s="4">
        <f t="shared" si="825"/>
        <v>3.2028799433928299E-4</v>
      </c>
      <c r="F1366" s="4">
        <f t="shared" si="825"/>
        <v>3.2028799433928299E-4</v>
      </c>
      <c r="G1366" s="4">
        <f t="shared" si="825"/>
        <v>3.2028799433928299E-4</v>
      </c>
      <c r="H1366" s="4">
        <f t="shared" si="825"/>
        <v>3.2028799433928299E-4</v>
      </c>
      <c r="I1366" s="4">
        <f t="shared" si="825"/>
        <v>3.2028799433928299E-4</v>
      </c>
      <c r="J1366" s="4">
        <f t="shared" si="825"/>
        <v>3.2028799433928299E-4</v>
      </c>
      <c r="K1366" s="4">
        <f t="shared" si="825"/>
        <v>3.2028799433928299E-4</v>
      </c>
      <c r="L1366" s="4">
        <f t="shared" si="825"/>
        <v>3.2028799433928299E-4</v>
      </c>
      <c r="M1366" s="4">
        <f t="shared" si="825"/>
        <v>3.2028799433928299E-4</v>
      </c>
      <c r="N1366" t="s">
        <v>242</v>
      </c>
      <c r="O1366" t="s">
        <v>358</v>
      </c>
      <c r="P1366" t="s">
        <v>351</v>
      </c>
      <c r="Q1366" s="4" t="s">
        <v>245</v>
      </c>
    </row>
    <row r="1367" spans="1:17" x14ac:dyDescent="0.25">
      <c r="A1367" t="s">
        <v>565</v>
      </c>
      <c r="B1367" t="s">
        <v>156</v>
      </c>
      <c r="C1367" s="4">
        <f t="shared" ref="C1367:M1367" si="826">(0.350336698877979/(0.0328453630665826+0.350336698877979+0.0822572721273277+0.0181224344560457+0.178561789731549)) * 0.645662604032784%</f>
        <v>3.4162703088289528E-3</v>
      </c>
      <c r="D1367" s="4">
        <f t="shared" si="826"/>
        <v>3.4162703088289528E-3</v>
      </c>
      <c r="E1367" s="4">
        <f t="shared" si="826"/>
        <v>3.4162703088289528E-3</v>
      </c>
      <c r="F1367" s="4">
        <f t="shared" si="826"/>
        <v>3.4162703088289528E-3</v>
      </c>
      <c r="G1367" s="4">
        <f t="shared" si="826"/>
        <v>3.4162703088289528E-3</v>
      </c>
      <c r="H1367" s="4">
        <f t="shared" si="826"/>
        <v>3.4162703088289528E-3</v>
      </c>
      <c r="I1367" s="4">
        <f t="shared" si="826"/>
        <v>3.4162703088289528E-3</v>
      </c>
      <c r="J1367" s="4">
        <f t="shared" si="826"/>
        <v>3.4162703088289528E-3</v>
      </c>
      <c r="K1367" s="4">
        <f t="shared" si="826"/>
        <v>3.4162703088289528E-3</v>
      </c>
      <c r="L1367" s="4">
        <f t="shared" si="826"/>
        <v>3.4162703088289528E-3</v>
      </c>
      <c r="M1367" s="4">
        <f t="shared" si="826"/>
        <v>3.4162703088289528E-3</v>
      </c>
      <c r="N1367" t="s">
        <v>256</v>
      </c>
      <c r="O1367" t="s">
        <v>356</v>
      </c>
      <c r="P1367" t="s">
        <v>351</v>
      </c>
      <c r="Q1367" s="4" t="s">
        <v>245</v>
      </c>
    </row>
    <row r="1368" spans="1:17" x14ac:dyDescent="0.25">
      <c r="A1368" t="s">
        <v>565</v>
      </c>
      <c r="B1368" t="s">
        <v>156</v>
      </c>
      <c r="C1368" s="4">
        <f t="shared" ref="C1368:M1368" si="827">(0.0822572721273277/(0.0328453630665826+0.350336698877979+0.0822572721273277+0.0181224344560457+0.178561789731549)) * 0.645662604032784%</f>
        <v>8.0212286452961299E-4</v>
      </c>
      <c r="D1368" s="4">
        <f t="shared" si="827"/>
        <v>8.0212286452961299E-4</v>
      </c>
      <c r="E1368" s="4">
        <f t="shared" si="827"/>
        <v>8.0212286452961299E-4</v>
      </c>
      <c r="F1368" s="4">
        <f t="shared" si="827"/>
        <v>8.0212286452961299E-4</v>
      </c>
      <c r="G1368" s="4">
        <f t="shared" si="827"/>
        <v>8.0212286452961299E-4</v>
      </c>
      <c r="H1368" s="4">
        <f t="shared" si="827"/>
        <v>8.0212286452961299E-4</v>
      </c>
      <c r="I1368" s="4">
        <f t="shared" si="827"/>
        <v>8.0212286452961299E-4</v>
      </c>
      <c r="J1368" s="4">
        <f t="shared" si="827"/>
        <v>8.0212286452961299E-4</v>
      </c>
      <c r="K1368" s="4">
        <f t="shared" si="827"/>
        <v>8.0212286452961299E-4</v>
      </c>
      <c r="L1368" s="4">
        <f t="shared" si="827"/>
        <v>8.0212286452961299E-4</v>
      </c>
      <c r="M1368" s="4">
        <f t="shared" si="827"/>
        <v>8.0212286452961299E-4</v>
      </c>
      <c r="N1368" t="s">
        <v>256</v>
      </c>
      <c r="O1368" t="s">
        <v>353</v>
      </c>
      <c r="P1368" t="s">
        <v>351</v>
      </c>
      <c r="Q1368" s="4" t="s">
        <v>245</v>
      </c>
    </row>
    <row r="1369" spans="1:17" x14ac:dyDescent="0.25">
      <c r="A1369" t="s">
        <v>565</v>
      </c>
      <c r="B1369" t="s">
        <v>156</v>
      </c>
      <c r="C1369" s="4">
        <f t="shared" ref="C1369:M1369" si="828">(0.0181224344560457/(0.0328453630665826+0.350336698877979+0.0822572721273277+0.0181224344560457+0.178561789731549)) * 0.645662604032784%</f>
        <v>1.7671895337876414E-4</v>
      </c>
      <c r="D1369" s="4">
        <f t="shared" si="828"/>
        <v>1.7671895337876414E-4</v>
      </c>
      <c r="E1369" s="4">
        <f t="shared" si="828"/>
        <v>1.7671895337876414E-4</v>
      </c>
      <c r="F1369" s="4">
        <f t="shared" si="828"/>
        <v>1.7671895337876414E-4</v>
      </c>
      <c r="G1369" s="4">
        <f t="shared" si="828"/>
        <v>1.7671895337876414E-4</v>
      </c>
      <c r="H1369" s="4">
        <f t="shared" si="828"/>
        <v>1.7671895337876414E-4</v>
      </c>
      <c r="I1369" s="4">
        <f t="shared" si="828"/>
        <v>1.7671895337876414E-4</v>
      </c>
      <c r="J1369" s="4">
        <f t="shared" si="828"/>
        <v>1.7671895337876414E-4</v>
      </c>
      <c r="K1369" s="4">
        <f t="shared" si="828"/>
        <v>1.7671895337876414E-4</v>
      </c>
      <c r="L1369" s="4">
        <f t="shared" si="828"/>
        <v>1.7671895337876414E-4</v>
      </c>
      <c r="M1369" s="4">
        <f t="shared" si="828"/>
        <v>1.7671895337876414E-4</v>
      </c>
      <c r="N1369" t="s">
        <v>256</v>
      </c>
      <c r="O1369" t="s">
        <v>280</v>
      </c>
      <c r="P1369" t="s">
        <v>351</v>
      </c>
      <c r="Q1369" s="4" t="s">
        <v>245</v>
      </c>
    </row>
    <row r="1370" spans="1:17" x14ac:dyDescent="0.25">
      <c r="A1370" t="s">
        <v>565</v>
      </c>
      <c r="B1370" t="s">
        <v>156</v>
      </c>
      <c r="C1370" s="4">
        <f t="shared" ref="C1370:M1370" si="829">(0.178561789731549/(0.0328453630665826+0.350336698877979+0.0822572721273277+0.0181224344560457+0.178561789731549)) * 0.645662604032784%</f>
        <v>1.7412259192512273E-3</v>
      </c>
      <c r="D1370" s="4">
        <f t="shared" si="829"/>
        <v>1.7412259192512273E-3</v>
      </c>
      <c r="E1370" s="4">
        <f t="shared" si="829"/>
        <v>1.7412259192512273E-3</v>
      </c>
      <c r="F1370" s="4">
        <f t="shared" si="829"/>
        <v>1.7412259192512273E-3</v>
      </c>
      <c r="G1370" s="4">
        <f t="shared" si="829"/>
        <v>1.7412259192512273E-3</v>
      </c>
      <c r="H1370" s="4">
        <f t="shared" si="829"/>
        <v>1.7412259192512273E-3</v>
      </c>
      <c r="I1370" s="4">
        <f t="shared" si="829"/>
        <v>1.7412259192512273E-3</v>
      </c>
      <c r="J1370" s="4">
        <f t="shared" si="829"/>
        <v>1.7412259192512273E-3</v>
      </c>
      <c r="K1370" s="4">
        <f t="shared" si="829"/>
        <v>1.7412259192512273E-3</v>
      </c>
      <c r="L1370" s="4">
        <f t="shared" si="829"/>
        <v>1.7412259192512273E-3</v>
      </c>
      <c r="M1370" s="4">
        <f t="shared" si="829"/>
        <v>1.7412259192512273E-3</v>
      </c>
      <c r="N1370" t="s">
        <v>256</v>
      </c>
      <c r="O1370" t="s">
        <v>354</v>
      </c>
      <c r="P1370" t="s">
        <v>351</v>
      </c>
      <c r="Q1370" s="4" t="s">
        <v>245</v>
      </c>
    </row>
    <row r="1371" spans="1:17" x14ac:dyDescent="0.25">
      <c r="A1371" t="s">
        <v>565</v>
      </c>
      <c r="B1371" t="s">
        <v>151</v>
      </c>
      <c r="C1371" s="4">
        <f t="shared" ref="C1371:M1371" si="830">(0.0328453630665826/(0.0328453630665826+0.350336698877979+0.0822572721273277+0.0181224344560457+0.178561789731549)) * 0.0205959235993159%</f>
        <v>1.0216833095161025E-5</v>
      </c>
      <c r="D1371" s="4">
        <f t="shared" si="830"/>
        <v>1.0216833095161025E-5</v>
      </c>
      <c r="E1371" s="4">
        <f t="shared" si="830"/>
        <v>1.0216833095161025E-5</v>
      </c>
      <c r="F1371" s="4">
        <f t="shared" si="830"/>
        <v>1.0216833095161025E-5</v>
      </c>
      <c r="G1371" s="4">
        <f t="shared" si="830"/>
        <v>1.0216833095161025E-5</v>
      </c>
      <c r="H1371" s="4">
        <f t="shared" si="830"/>
        <v>1.0216833095161025E-5</v>
      </c>
      <c r="I1371" s="4">
        <f t="shared" si="830"/>
        <v>1.0216833095161025E-5</v>
      </c>
      <c r="J1371" s="4">
        <f t="shared" si="830"/>
        <v>1.0216833095161025E-5</v>
      </c>
      <c r="K1371" s="4">
        <f t="shared" si="830"/>
        <v>1.0216833095161025E-5</v>
      </c>
      <c r="L1371" s="4">
        <f t="shared" si="830"/>
        <v>1.0216833095161025E-5</v>
      </c>
      <c r="M1371" s="4">
        <f t="shared" si="830"/>
        <v>1.0216833095161025E-5</v>
      </c>
      <c r="N1371" t="s">
        <v>242</v>
      </c>
      <c r="O1371" t="s">
        <v>358</v>
      </c>
      <c r="P1371" t="s">
        <v>351</v>
      </c>
      <c r="Q1371" s="4" t="s">
        <v>245</v>
      </c>
    </row>
    <row r="1372" spans="1:17" x14ac:dyDescent="0.25">
      <c r="A1372" t="s">
        <v>565</v>
      </c>
      <c r="B1372" t="s">
        <v>151</v>
      </c>
      <c r="C1372" s="4">
        <f t="shared" ref="C1372:M1372" si="831">(0.350336698877979/(0.0328453630665826+0.350336698877979+0.0822572721273277+0.0181224344560457+0.178561789731549)) * 0.0205959235993159%</f>
        <v>1.089752478086524E-4</v>
      </c>
      <c r="D1372" s="4">
        <f t="shared" si="831"/>
        <v>1.089752478086524E-4</v>
      </c>
      <c r="E1372" s="4">
        <f t="shared" si="831"/>
        <v>1.089752478086524E-4</v>
      </c>
      <c r="F1372" s="4">
        <f t="shared" si="831"/>
        <v>1.089752478086524E-4</v>
      </c>
      <c r="G1372" s="4">
        <f t="shared" si="831"/>
        <v>1.089752478086524E-4</v>
      </c>
      <c r="H1372" s="4">
        <f t="shared" si="831"/>
        <v>1.089752478086524E-4</v>
      </c>
      <c r="I1372" s="4">
        <f t="shared" si="831"/>
        <v>1.089752478086524E-4</v>
      </c>
      <c r="J1372" s="4">
        <f t="shared" si="831"/>
        <v>1.089752478086524E-4</v>
      </c>
      <c r="K1372" s="4">
        <f t="shared" si="831"/>
        <v>1.089752478086524E-4</v>
      </c>
      <c r="L1372" s="4">
        <f t="shared" si="831"/>
        <v>1.089752478086524E-4</v>
      </c>
      <c r="M1372" s="4">
        <f t="shared" si="831"/>
        <v>1.089752478086524E-4</v>
      </c>
      <c r="N1372" t="s">
        <v>256</v>
      </c>
      <c r="O1372" t="s">
        <v>356</v>
      </c>
      <c r="P1372" t="s">
        <v>351</v>
      </c>
      <c r="Q1372" s="4" t="s">
        <v>245</v>
      </c>
    </row>
    <row r="1373" spans="1:17" x14ac:dyDescent="0.25">
      <c r="A1373" t="s">
        <v>565</v>
      </c>
      <c r="B1373" t="s">
        <v>151</v>
      </c>
      <c r="C1373" s="4">
        <f t="shared" ref="C1373:M1373" si="832">(0.0822572721273277/(0.0328453630665826+0.350336698877979+0.0822572721273277+0.0181224344560457+0.178561789731549)) * 0.0205959235993159%</f>
        <v>2.5586833017632052E-5</v>
      </c>
      <c r="D1373" s="4">
        <f t="shared" si="832"/>
        <v>2.5586833017632052E-5</v>
      </c>
      <c r="E1373" s="4">
        <f t="shared" si="832"/>
        <v>2.5586833017632052E-5</v>
      </c>
      <c r="F1373" s="4">
        <f t="shared" si="832"/>
        <v>2.5586833017632052E-5</v>
      </c>
      <c r="G1373" s="4">
        <f t="shared" si="832"/>
        <v>2.5586833017632052E-5</v>
      </c>
      <c r="H1373" s="4">
        <f t="shared" si="832"/>
        <v>2.5586833017632052E-5</v>
      </c>
      <c r="I1373" s="4">
        <f t="shared" si="832"/>
        <v>2.5586833017632052E-5</v>
      </c>
      <c r="J1373" s="4">
        <f t="shared" si="832"/>
        <v>2.5586833017632052E-5</v>
      </c>
      <c r="K1373" s="4">
        <f t="shared" si="832"/>
        <v>2.5586833017632052E-5</v>
      </c>
      <c r="L1373" s="4">
        <f t="shared" si="832"/>
        <v>2.5586833017632052E-5</v>
      </c>
      <c r="M1373" s="4">
        <f t="shared" si="832"/>
        <v>2.5586833017632052E-5</v>
      </c>
      <c r="N1373" t="s">
        <v>256</v>
      </c>
      <c r="O1373" t="s">
        <v>353</v>
      </c>
      <c r="P1373" t="s">
        <v>351</v>
      </c>
      <c r="Q1373" s="4" t="s">
        <v>245</v>
      </c>
    </row>
    <row r="1374" spans="1:17" x14ac:dyDescent="0.25">
      <c r="A1374" t="s">
        <v>565</v>
      </c>
      <c r="B1374" t="s">
        <v>151</v>
      </c>
      <c r="C1374" s="4">
        <f t="shared" ref="C1374:M1374" si="833">(0.0181224344560457/(0.0328453630665826+0.350336698877979+0.0822572721273277+0.0181224344560457+0.178561789731549)) * 0.0205959235993159%</f>
        <v>5.6371393350129451E-6</v>
      </c>
      <c r="D1374" s="4">
        <f t="shared" si="833"/>
        <v>5.6371393350129451E-6</v>
      </c>
      <c r="E1374" s="4">
        <f t="shared" si="833"/>
        <v>5.6371393350129451E-6</v>
      </c>
      <c r="F1374" s="4">
        <f t="shared" si="833"/>
        <v>5.6371393350129451E-6</v>
      </c>
      <c r="G1374" s="4">
        <f t="shared" si="833"/>
        <v>5.6371393350129451E-6</v>
      </c>
      <c r="H1374" s="4">
        <f t="shared" si="833"/>
        <v>5.6371393350129451E-6</v>
      </c>
      <c r="I1374" s="4">
        <f t="shared" si="833"/>
        <v>5.6371393350129451E-6</v>
      </c>
      <c r="J1374" s="4">
        <f t="shared" si="833"/>
        <v>5.6371393350129451E-6</v>
      </c>
      <c r="K1374" s="4">
        <f t="shared" si="833"/>
        <v>5.6371393350129451E-6</v>
      </c>
      <c r="L1374" s="4">
        <f t="shared" si="833"/>
        <v>5.6371393350129451E-6</v>
      </c>
      <c r="M1374" s="4">
        <f t="shared" si="833"/>
        <v>5.6371393350129451E-6</v>
      </c>
      <c r="N1374" t="s">
        <v>256</v>
      </c>
      <c r="O1374" t="s">
        <v>280</v>
      </c>
      <c r="P1374" t="s">
        <v>351</v>
      </c>
      <c r="Q1374" s="4" t="s">
        <v>245</v>
      </c>
    </row>
    <row r="1375" spans="1:17" x14ac:dyDescent="0.25">
      <c r="A1375" t="s">
        <v>565</v>
      </c>
      <c r="B1375" t="s">
        <v>151</v>
      </c>
      <c r="C1375" s="4">
        <f t="shared" ref="C1375:M1375" si="834">(0.178561789731549/(0.0328453630665826+0.350336698877979+0.0822572721273277+0.0181224344560457+0.178561789731549)) * 0.0205959235993159%</f>
        <v>5.5543182736700588E-5</v>
      </c>
      <c r="D1375" s="4">
        <f t="shared" si="834"/>
        <v>5.5543182736700588E-5</v>
      </c>
      <c r="E1375" s="4">
        <f t="shared" si="834"/>
        <v>5.5543182736700588E-5</v>
      </c>
      <c r="F1375" s="4">
        <f t="shared" si="834"/>
        <v>5.5543182736700588E-5</v>
      </c>
      <c r="G1375" s="4">
        <f t="shared" si="834"/>
        <v>5.5543182736700588E-5</v>
      </c>
      <c r="H1375" s="4">
        <f t="shared" si="834"/>
        <v>5.5543182736700588E-5</v>
      </c>
      <c r="I1375" s="4">
        <f t="shared" si="834"/>
        <v>5.5543182736700588E-5</v>
      </c>
      <c r="J1375" s="4">
        <f t="shared" si="834"/>
        <v>5.5543182736700588E-5</v>
      </c>
      <c r="K1375" s="4">
        <f t="shared" si="834"/>
        <v>5.5543182736700588E-5</v>
      </c>
      <c r="L1375" s="4">
        <f t="shared" si="834"/>
        <v>5.5543182736700588E-5</v>
      </c>
      <c r="M1375" s="4">
        <f t="shared" si="834"/>
        <v>5.5543182736700588E-5</v>
      </c>
      <c r="N1375" t="s">
        <v>256</v>
      </c>
      <c r="O1375" t="s">
        <v>354</v>
      </c>
      <c r="P1375" t="s">
        <v>351</v>
      </c>
      <c r="Q1375" s="4" t="s">
        <v>245</v>
      </c>
    </row>
    <row r="1376" spans="1:17" x14ac:dyDescent="0.25">
      <c r="A1376" t="s">
        <v>565</v>
      </c>
      <c r="B1376" t="s">
        <v>120</v>
      </c>
      <c r="C1376" s="4">
        <f t="shared" ref="C1376:M1376" si="835">(0.0328453630665826/(0.0328453630665826+0.350336698877979+0.0822572721273277+0.0181224344560457+0.178561789731549)) * 0.0178578418089529%</f>
        <v>8.8585776851454428E-6</v>
      </c>
      <c r="D1376" s="4">
        <f t="shared" si="835"/>
        <v>8.8585776851454428E-6</v>
      </c>
      <c r="E1376" s="4">
        <f t="shared" si="835"/>
        <v>8.8585776851454428E-6</v>
      </c>
      <c r="F1376" s="4">
        <f t="shared" si="835"/>
        <v>8.8585776851454428E-6</v>
      </c>
      <c r="G1376" s="4">
        <f t="shared" si="835"/>
        <v>8.8585776851454428E-6</v>
      </c>
      <c r="H1376" s="4">
        <f t="shared" si="835"/>
        <v>8.8585776851454428E-6</v>
      </c>
      <c r="I1376" s="4">
        <f t="shared" si="835"/>
        <v>8.8585776851454428E-6</v>
      </c>
      <c r="J1376" s="4">
        <f t="shared" si="835"/>
        <v>8.8585776851454428E-6</v>
      </c>
      <c r="K1376" s="4">
        <f t="shared" si="835"/>
        <v>8.8585776851454428E-6</v>
      </c>
      <c r="L1376" s="4">
        <f t="shared" si="835"/>
        <v>8.8585776851454428E-6</v>
      </c>
      <c r="M1376" s="4">
        <f t="shared" si="835"/>
        <v>8.8585776851454428E-6</v>
      </c>
      <c r="N1376" t="s">
        <v>242</v>
      </c>
      <c r="O1376" t="s">
        <v>358</v>
      </c>
      <c r="P1376" t="s">
        <v>351</v>
      </c>
      <c r="Q1376" s="4" t="s">
        <v>245</v>
      </c>
    </row>
    <row r="1377" spans="1:17" x14ac:dyDescent="0.25">
      <c r="A1377" t="s">
        <v>565</v>
      </c>
      <c r="B1377" t="s">
        <v>120</v>
      </c>
      <c r="C1377" s="4">
        <f t="shared" ref="C1377:M1377" si="836">(0.350336698877979/(0.0328453630665826+0.350336698877979+0.0822572721273277+0.0181224344560457+0.178561789731549)) * 0.0178578418089529%</f>
        <v>9.4487762448438822E-5</v>
      </c>
      <c r="D1377" s="4">
        <f t="shared" si="836"/>
        <v>9.4487762448438822E-5</v>
      </c>
      <c r="E1377" s="4">
        <f t="shared" si="836"/>
        <v>9.4487762448438822E-5</v>
      </c>
      <c r="F1377" s="4">
        <f t="shared" si="836"/>
        <v>9.4487762448438822E-5</v>
      </c>
      <c r="G1377" s="4">
        <f t="shared" si="836"/>
        <v>9.4487762448438822E-5</v>
      </c>
      <c r="H1377" s="4">
        <f t="shared" si="836"/>
        <v>9.4487762448438822E-5</v>
      </c>
      <c r="I1377" s="4">
        <f t="shared" si="836"/>
        <v>9.4487762448438822E-5</v>
      </c>
      <c r="J1377" s="4">
        <f t="shared" si="836"/>
        <v>9.4487762448438822E-5</v>
      </c>
      <c r="K1377" s="4">
        <f t="shared" si="836"/>
        <v>9.4487762448438822E-5</v>
      </c>
      <c r="L1377" s="4">
        <f t="shared" si="836"/>
        <v>9.4487762448438822E-5</v>
      </c>
      <c r="M1377" s="4">
        <f t="shared" si="836"/>
        <v>9.4487762448438822E-5</v>
      </c>
      <c r="N1377" t="s">
        <v>256</v>
      </c>
      <c r="O1377" t="s">
        <v>356</v>
      </c>
      <c r="P1377" t="s">
        <v>351</v>
      </c>
      <c r="Q1377" s="4" t="s">
        <v>245</v>
      </c>
    </row>
    <row r="1378" spans="1:17" x14ac:dyDescent="0.25">
      <c r="A1378" t="s">
        <v>565</v>
      </c>
      <c r="B1378" t="s">
        <v>120</v>
      </c>
      <c r="C1378" s="4">
        <f t="shared" ref="C1378:M1378" si="837">(0.0822572721273277/(0.0328453630665826+0.350336698877979+0.0822572721273277+0.0181224344560457+0.178561789731549)) * 0.0178578418089529%</f>
        <v>2.2185245260675909E-5</v>
      </c>
      <c r="D1378" s="4">
        <f t="shared" si="837"/>
        <v>2.2185245260675909E-5</v>
      </c>
      <c r="E1378" s="4">
        <f t="shared" si="837"/>
        <v>2.2185245260675909E-5</v>
      </c>
      <c r="F1378" s="4">
        <f t="shared" si="837"/>
        <v>2.2185245260675909E-5</v>
      </c>
      <c r="G1378" s="4">
        <f t="shared" si="837"/>
        <v>2.2185245260675909E-5</v>
      </c>
      <c r="H1378" s="4">
        <f t="shared" si="837"/>
        <v>2.2185245260675909E-5</v>
      </c>
      <c r="I1378" s="4">
        <f t="shared" si="837"/>
        <v>2.2185245260675909E-5</v>
      </c>
      <c r="J1378" s="4">
        <f t="shared" si="837"/>
        <v>2.2185245260675909E-5</v>
      </c>
      <c r="K1378" s="4">
        <f t="shared" si="837"/>
        <v>2.2185245260675909E-5</v>
      </c>
      <c r="L1378" s="4">
        <f t="shared" si="837"/>
        <v>2.2185245260675909E-5</v>
      </c>
      <c r="M1378" s="4">
        <f t="shared" si="837"/>
        <v>2.2185245260675909E-5</v>
      </c>
      <c r="N1378" t="s">
        <v>256</v>
      </c>
      <c r="O1378" t="s">
        <v>353</v>
      </c>
      <c r="P1378" t="s">
        <v>351</v>
      </c>
      <c r="Q1378" s="4" t="s">
        <v>245</v>
      </c>
    </row>
    <row r="1379" spans="1:17" x14ac:dyDescent="0.25">
      <c r="A1379" t="s">
        <v>565</v>
      </c>
      <c r="B1379" t="s">
        <v>120</v>
      </c>
      <c r="C1379" s="4">
        <f t="shared" ref="C1379:M1379" si="838">(0.0181224344560457/(0.0328453630665826+0.350336698877979+0.0822572721273277+0.0181224344560457+0.178561789731549)) * 0.0178578418089529%</f>
        <v>4.8877216898896836E-6</v>
      </c>
      <c r="D1379" s="4">
        <f t="shared" si="838"/>
        <v>4.8877216898896836E-6</v>
      </c>
      <c r="E1379" s="4">
        <f t="shared" si="838"/>
        <v>4.8877216898896836E-6</v>
      </c>
      <c r="F1379" s="4">
        <f t="shared" si="838"/>
        <v>4.8877216898896836E-6</v>
      </c>
      <c r="G1379" s="4">
        <f t="shared" si="838"/>
        <v>4.8877216898896836E-6</v>
      </c>
      <c r="H1379" s="4">
        <f t="shared" si="838"/>
        <v>4.8877216898896836E-6</v>
      </c>
      <c r="I1379" s="4">
        <f t="shared" si="838"/>
        <v>4.8877216898896836E-6</v>
      </c>
      <c r="J1379" s="4">
        <f t="shared" si="838"/>
        <v>4.8877216898896836E-6</v>
      </c>
      <c r="K1379" s="4">
        <f t="shared" si="838"/>
        <v>4.8877216898896836E-6</v>
      </c>
      <c r="L1379" s="4">
        <f t="shared" si="838"/>
        <v>4.8877216898896836E-6</v>
      </c>
      <c r="M1379" s="4">
        <f t="shared" si="838"/>
        <v>4.8877216898896836E-6</v>
      </c>
      <c r="N1379" t="s">
        <v>256</v>
      </c>
      <c r="O1379" t="s">
        <v>280</v>
      </c>
      <c r="P1379" t="s">
        <v>351</v>
      </c>
      <c r="Q1379" s="4" t="s">
        <v>245</v>
      </c>
    </row>
    <row r="1380" spans="1:17" x14ac:dyDescent="0.25">
      <c r="A1380" t="s">
        <v>565</v>
      </c>
      <c r="B1380" t="s">
        <v>120</v>
      </c>
      <c r="C1380" s="4">
        <f t="shared" ref="C1380:M1380" si="839">(0.178561789731549/(0.0328453630665826+0.350336698877979+0.0822572721273277+0.0181224344560457+0.178561789731549)) * 0.0178578418089529%</f>
        <v>4.8159111005379162E-5</v>
      </c>
      <c r="D1380" s="4">
        <f t="shared" si="839"/>
        <v>4.8159111005379162E-5</v>
      </c>
      <c r="E1380" s="4">
        <f t="shared" si="839"/>
        <v>4.8159111005379162E-5</v>
      </c>
      <c r="F1380" s="4">
        <f t="shared" si="839"/>
        <v>4.8159111005379162E-5</v>
      </c>
      <c r="G1380" s="4">
        <f t="shared" si="839"/>
        <v>4.8159111005379162E-5</v>
      </c>
      <c r="H1380" s="4">
        <f t="shared" si="839"/>
        <v>4.8159111005379162E-5</v>
      </c>
      <c r="I1380" s="4">
        <f t="shared" si="839"/>
        <v>4.8159111005379162E-5</v>
      </c>
      <c r="J1380" s="4">
        <f t="shared" si="839"/>
        <v>4.8159111005379162E-5</v>
      </c>
      <c r="K1380" s="4">
        <f t="shared" si="839"/>
        <v>4.8159111005379162E-5</v>
      </c>
      <c r="L1380" s="4">
        <f t="shared" si="839"/>
        <v>4.8159111005379162E-5</v>
      </c>
      <c r="M1380" s="4">
        <f t="shared" si="839"/>
        <v>4.8159111005379162E-5</v>
      </c>
      <c r="N1380" t="s">
        <v>256</v>
      </c>
      <c r="O1380" t="s">
        <v>354</v>
      </c>
      <c r="P1380" t="s">
        <v>351</v>
      </c>
      <c r="Q1380" s="4" t="s">
        <v>245</v>
      </c>
    </row>
    <row r="1381" spans="1:17" x14ac:dyDescent="0.25">
      <c r="A1381" t="s">
        <v>565</v>
      </c>
      <c r="B1381" t="s">
        <v>107</v>
      </c>
      <c r="C1381" s="4">
        <f t="shared" ref="C1381:M1381" si="840">(0.0328453630665826/(0.0328453630665826+0.350336698877979+0.0822572721273277+0.0181224344560457+0.178561789731549)) * 8.91221498694496%</f>
        <v>4.4210016895204329E-3</v>
      </c>
      <c r="D1381" s="4">
        <f t="shared" si="840"/>
        <v>4.4210016895204329E-3</v>
      </c>
      <c r="E1381" s="4">
        <f t="shared" si="840"/>
        <v>4.4210016895204329E-3</v>
      </c>
      <c r="F1381" s="4">
        <f t="shared" si="840"/>
        <v>4.4210016895204329E-3</v>
      </c>
      <c r="G1381" s="4">
        <f t="shared" si="840"/>
        <v>4.4210016895204329E-3</v>
      </c>
      <c r="H1381" s="4">
        <f t="shared" si="840"/>
        <v>4.4210016895204329E-3</v>
      </c>
      <c r="I1381" s="4">
        <f t="shared" si="840"/>
        <v>4.4210016895204329E-3</v>
      </c>
      <c r="J1381" s="4">
        <f t="shared" si="840"/>
        <v>4.4210016895204329E-3</v>
      </c>
      <c r="K1381" s="4">
        <f t="shared" si="840"/>
        <v>4.4210016895204329E-3</v>
      </c>
      <c r="L1381" s="4">
        <f t="shared" si="840"/>
        <v>4.4210016895204329E-3</v>
      </c>
      <c r="M1381" s="4">
        <f t="shared" si="840"/>
        <v>4.4210016895204329E-3</v>
      </c>
      <c r="N1381" t="s">
        <v>242</v>
      </c>
      <c r="O1381" t="s">
        <v>358</v>
      </c>
      <c r="P1381" t="s">
        <v>351</v>
      </c>
      <c r="Q1381" s="4" t="s">
        <v>245</v>
      </c>
    </row>
    <row r="1382" spans="1:17" x14ac:dyDescent="0.25">
      <c r="A1382" t="s">
        <v>565</v>
      </c>
      <c r="B1382" t="s">
        <v>107</v>
      </c>
      <c r="C1382" s="4">
        <f t="shared" ref="C1382:M1382" si="841">(0.350336698877979/(0.0328453630665826+0.350336698877979+0.0822572721273277+0.0181224344560457+0.178561789731549)) * 8.91221498694496%</f>
        <v>4.7155488417065794E-2</v>
      </c>
      <c r="D1382" s="4">
        <f t="shared" si="841"/>
        <v>4.7155488417065794E-2</v>
      </c>
      <c r="E1382" s="4">
        <f t="shared" si="841"/>
        <v>4.7155488417065794E-2</v>
      </c>
      <c r="F1382" s="4">
        <f t="shared" si="841"/>
        <v>4.7155488417065794E-2</v>
      </c>
      <c r="G1382" s="4">
        <f t="shared" si="841"/>
        <v>4.7155488417065794E-2</v>
      </c>
      <c r="H1382" s="4">
        <f t="shared" si="841"/>
        <v>4.7155488417065794E-2</v>
      </c>
      <c r="I1382" s="4">
        <f t="shared" si="841"/>
        <v>4.7155488417065794E-2</v>
      </c>
      <c r="J1382" s="4">
        <f t="shared" si="841"/>
        <v>4.7155488417065794E-2</v>
      </c>
      <c r="K1382" s="4">
        <f t="shared" si="841"/>
        <v>4.7155488417065794E-2</v>
      </c>
      <c r="L1382" s="4">
        <f t="shared" si="841"/>
        <v>4.7155488417065794E-2</v>
      </c>
      <c r="M1382" s="4">
        <f t="shared" si="841"/>
        <v>4.7155488417065794E-2</v>
      </c>
      <c r="N1382" t="s">
        <v>256</v>
      </c>
      <c r="O1382" t="s">
        <v>356</v>
      </c>
      <c r="P1382" t="s">
        <v>351</v>
      </c>
      <c r="Q1382" s="4" t="s">
        <v>245</v>
      </c>
    </row>
    <row r="1383" spans="1:17" x14ac:dyDescent="0.25">
      <c r="A1383" t="s">
        <v>565</v>
      </c>
      <c r="B1383" t="s">
        <v>107</v>
      </c>
      <c r="C1383" s="4">
        <f t="shared" ref="C1383:M1383" si="842">(0.0822572721273277/(0.0328453630665826+0.350336698877979+0.0822572721273277+0.0181224344560457+0.178561789731549)) * 8.91221498694496%</f>
        <v>1.107186844953012E-2</v>
      </c>
      <c r="D1383" s="4">
        <f t="shared" si="842"/>
        <v>1.107186844953012E-2</v>
      </c>
      <c r="E1383" s="4">
        <f t="shared" si="842"/>
        <v>1.107186844953012E-2</v>
      </c>
      <c r="F1383" s="4">
        <f t="shared" si="842"/>
        <v>1.107186844953012E-2</v>
      </c>
      <c r="G1383" s="4">
        <f t="shared" si="842"/>
        <v>1.107186844953012E-2</v>
      </c>
      <c r="H1383" s="4">
        <f t="shared" si="842"/>
        <v>1.107186844953012E-2</v>
      </c>
      <c r="I1383" s="4">
        <f t="shared" si="842"/>
        <v>1.107186844953012E-2</v>
      </c>
      <c r="J1383" s="4">
        <f t="shared" si="842"/>
        <v>1.107186844953012E-2</v>
      </c>
      <c r="K1383" s="4">
        <f t="shared" si="842"/>
        <v>1.107186844953012E-2</v>
      </c>
      <c r="L1383" s="4">
        <f t="shared" si="842"/>
        <v>1.107186844953012E-2</v>
      </c>
      <c r="M1383" s="4">
        <f t="shared" si="842"/>
        <v>1.107186844953012E-2</v>
      </c>
      <c r="N1383" t="s">
        <v>256</v>
      </c>
      <c r="O1383" t="s">
        <v>353</v>
      </c>
      <c r="P1383" t="s">
        <v>351</v>
      </c>
      <c r="Q1383" s="4" t="s">
        <v>245</v>
      </c>
    </row>
    <row r="1384" spans="1:17" x14ac:dyDescent="0.25">
      <c r="A1384" t="s">
        <v>565</v>
      </c>
      <c r="B1384" t="s">
        <v>107</v>
      </c>
      <c r="C1384" s="4">
        <f t="shared" ref="C1384:M1384" si="843">(0.0181224344560457/(0.0328453630665826+0.350336698877979+0.0822572721273277+0.0181224344560457+0.178561789731549)) * 8.91221498694496%</f>
        <v>2.4392884068898E-3</v>
      </c>
      <c r="D1384" s="4">
        <f t="shared" si="843"/>
        <v>2.4392884068898E-3</v>
      </c>
      <c r="E1384" s="4">
        <f t="shared" si="843"/>
        <v>2.4392884068898E-3</v>
      </c>
      <c r="F1384" s="4">
        <f t="shared" si="843"/>
        <v>2.4392884068898E-3</v>
      </c>
      <c r="G1384" s="4">
        <f t="shared" si="843"/>
        <v>2.4392884068898E-3</v>
      </c>
      <c r="H1384" s="4">
        <f t="shared" si="843"/>
        <v>2.4392884068898E-3</v>
      </c>
      <c r="I1384" s="4">
        <f t="shared" si="843"/>
        <v>2.4392884068898E-3</v>
      </c>
      <c r="J1384" s="4">
        <f t="shared" si="843"/>
        <v>2.4392884068898E-3</v>
      </c>
      <c r="K1384" s="4">
        <f t="shared" si="843"/>
        <v>2.4392884068898E-3</v>
      </c>
      <c r="L1384" s="4">
        <f t="shared" si="843"/>
        <v>2.4392884068898E-3</v>
      </c>
      <c r="M1384" s="4">
        <f t="shared" si="843"/>
        <v>2.4392884068898E-3</v>
      </c>
      <c r="N1384" t="s">
        <v>256</v>
      </c>
      <c r="O1384" t="s">
        <v>280</v>
      </c>
      <c r="P1384" t="s">
        <v>351</v>
      </c>
      <c r="Q1384" s="4" t="s">
        <v>245</v>
      </c>
    </row>
    <row r="1385" spans="1:17" x14ac:dyDescent="0.25">
      <c r="A1385" t="s">
        <v>565</v>
      </c>
      <c r="B1385" t="s">
        <v>107</v>
      </c>
      <c r="C1385" s="4">
        <f t="shared" ref="C1385:M1385" si="844">(0.178561789731549/(0.0328453630665826+0.350336698877979+0.0822572721273277+0.0181224344560457+0.178561789731549)) * 8.91221498694496%</f>
        <v>2.4034502906443468E-2</v>
      </c>
      <c r="D1385" s="4">
        <f t="shared" si="844"/>
        <v>2.4034502906443468E-2</v>
      </c>
      <c r="E1385" s="4">
        <f t="shared" si="844"/>
        <v>2.4034502906443468E-2</v>
      </c>
      <c r="F1385" s="4">
        <f t="shared" si="844"/>
        <v>2.4034502906443468E-2</v>
      </c>
      <c r="G1385" s="4">
        <f t="shared" si="844"/>
        <v>2.4034502906443468E-2</v>
      </c>
      <c r="H1385" s="4">
        <f t="shared" si="844"/>
        <v>2.4034502906443468E-2</v>
      </c>
      <c r="I1385" s="4">
        <f t="shared" si="844"/>
        <v>2.4034502906443468E-2</v>
      </c>
      <c r="J1385" s="4">
        <f t="shared" si="844"/>
        <v>2.4034502906443468E-2</v>
      </c>
      <c r="K1385" s="4">
        <f t="shared" si="844"/>
        <v>2.4034502906443468E-2</v>
      </c>
      <c r="L1385" s="4">
        <f t="shared" si="844"/>
        <v>2.4034502906443468E-2</v>
      </c>
      <c r="M1385" s="4">
        <f t="shared" si="844"/>
        <v>2.4034502906443468E-2</v>
      </c>
      <c r="N1385" t="s">
        <v>256</v>
      </c>
      <c r="O1385" t="s">
        <v>354</v>
      </c>
      <c r="P1385" t="s">
        <v>351</v>
      </c>
      <c r="Q1385" s="4" t="s">
        <v>245</v>
      </c>
    </row>
    <row r="1386" spans="1:17" x14ac:dyDescent="0.25">
      <c r="A1386" t="s">
        <v>565</v>
      </c>
      <c r="B1386" t="s">
        <v>204</v>
      </c>
      <c r="C1386" s="4">
        <f t="shared" ref="C1386:M1386" si="845">(0.0328453630665826/(0.0328453630665826+0.350336698877979+0.0822572721273277+0.0181224344560457+0.178561789731549)) * 0.339739258622741%</f>
        <v>1.6853137391408771E-4</v>
      </c>
      <c r="D1386" s="4">
        <f t="shared" si="845"/>
        <v>1.6853137391408771E-4</v>
      </c>
      <c r="E1386" s="4">
        <f t="shared" si="845"/>
        <v>1.6853137391408771E-4</v>
      </c>
      <c r="F1386" s="4">
        <f t="shared" si="845"/>
        <v>1.6853137391408771E-4</v>
      </c>
      <c r="G1386" s="4">
        <f t="shared" si="845"/>
        <v>1.6853137391408771E-4</v>
      </c>
      <c r="H1386" s="4">
        <f t="shared" si="845"/>
        <v>1.6853137391408771E-4</v>
      </c>
      <c r="I1386" s="4">
        <f t="shared" si="845"/>
        <v>1.6853137391408771E-4</v>
      </c>
      <c r="J1386" s="4">
        <f t="shared" si="845"/>
        <v>1.6853137391408771E-4</v>
      </c>
      <c r="K1386" s="4">
        <f t="shared" si="845"/>
        <v>1.6853137391408771E-4</v>
      </c>
      <c r="L1386" s="4">
        <f t="shared" si="845"/>
        <v>1.6853137391408771E-4</v>
      </c>
      <c r="M1386" s="4">
        <f t="shared" si="845"/>
        <v>1.6853137391408771E-4</v>
      </c>
      <c r="N1386" t="s">
        <v>242</v>
      </c>
      <c r="O1386" t="s">
        <v>358</v>
      </c>
      <c r="P1386" t="s">
        <v>351</v>
      </c>
      <c r="Q1386" s="4" t="s">
        <v>245</v>
      </c>
    </row>
    <row r="1387" spans="1:17" x14ac:dyDescent="0.25">
      <c r="A1387" t="s">
        <v>565</v>
      </c>
      <c r="B1387" t="s">
        <v>204</v>
      </c>
      <c r="C1387" s="4">
        <f t="shared" ref="C1387:M1387" si="846">(0.350336698877979/(0.0328453630665826+0.350336698877979+0.0822572721273277+0.0181224344560457+0.178561789731549)) * 0.339739258622741%</f>
        <v>1.7975969720518282E-3</v>
      </c>
      <c r="D1387" s="4">
        <f t="shared" si="846"/>
        <v>1.7975969720518282E-3</v>
      </c>
      <c r="E1387" s="4">
        <f t="shared" si="846"/>
        <v>1.7975969720518282E-3</v>
      </c>
      <c r="F1387" s="4">
        <f t="shared" si="846"/>
        <v>1.7975969720518282E-3</v>
      </c>
      <c r="G1387" s="4">
        <f t="shared" si="846"/>
        <v>1.7975969720518282E-3</v>
      </c>
      <c r="H1387" s="4">
        <f t="shared" si="846"/>
        <v>1.7975969720518282E-3</v>
      </c>
      <c r="I1387" s="4">
        <f t="shared" si="846"/>
        <v>1.7975969720518282E-3</v>
      </c>
      <c r="J1387" s="4">
        <f t="shared" si="846"/>
        <v>1.7975969720518282E-3</v>
      </c>
      <c r="K1387" s="4">
        <f t="shared" si="846"/>
        <v>1.7975969720518282E-3</v>
      </c>
      <c r="L1387" s="4">
        <f t="shared" si="846"/>
        <v>1.7975969720518282E-3</v>
      </c>
      <c r="M1387" s="4">
        <f t="shared" si="846"/>
        <v>1.7975969720518282E-3</v>
      </c>
      <c r="N1387" t="s">
        <v>256</v>
      </c>
      <c r="O1387" t="s">
        <v>356</v>
      </c>
      <c r="P1387" t="s">
        <v>351</v>
      </c>
      <c r="Q1387" s="4" t="s">
        <v>245</v>
      </c>
    </row>
    <row r="1388" spans="1:17" x14ac:dyDescent="0.25">
      <c r="A1388" t="s">
        <v>565</v>
      </c>
      <c r="B1388" t="s">
        <v>204</v>
      </c>
      <c r="C1388" s="4">
        <f t="shared" ref="C1388:M1388" si="847">(0.0822572721273277/(0.0328453630665826+0.350336698877979+0.0822572721273277+0.0181224344560457+0.178561789731549)) * 0.339739258622741%</f>
        <v>4.2206661128821245E-4</v>
      </c>
      <c r="D1388" s="4">
        <f t="shared" si="847"/>
        <v>4.2206661128821245E-4</v>
      </c>
      <c r="E1388" s="4">
        <f t="shared" si="847"/>
        <v>4.2206661128821245E-4</v>
      </c>
      <c r="F1388" s="4">
        <f t="shared" si="847"/>
        <v>4.2206661128821245E-4</v>
      </c>
      <c r="G1388" s="4">
        <f t="shared" si="847"/>
        <v>4.2206661128821245E-4</v>
      </c>
      <c r="H1388" s="4">
        <f t="shared" si="847"/>
        <v>4.2206661128821245E-4</v>
      </c>
      <c r="I1388" s="4">
        <f t="shared" si="847"/>
        <v>4.2206661128821245E-4</v>
      </c>
      <c r="J1388" s="4">
        <f t="shared" si="847"/>
        <v>4.2206661128821245E-4</v>
      </c>
      <c r="K1388" s="4">
        <f t="shared" si="847"/>
        <v>4.2206661128821245E-4</v>
      </c>
      <c r="L1388" s="4">
        <f t="shared" si="847"/>
        <v>4.2206661128821245E-4</v>
      </c>
      <c r="M1388" s="4">
        <f t="shared" si="847"/>
        <v>4.2206661128821245E-4</v>
      </c>
      <c r="N1388" t="s">
        <v>256</v>
      </c>
      <c r="O1388" t="s">
        <v>353</v>
      </c>
      <c r="P1388" t="s">
        <v>351</v>
      </c>
      <c r="Q1388" s="4" t="s">
        <v>245</v>
      </c>
    </row>
    <row r="1389" spans="1:17" x14ac:dyDescent="0.25">
      <c r="A1389" t="s">
        <v>565</v>
      </c>
      <c r="B1389" t="s">
        <v>204</v>
      </c>
      <c r="C1389" s="4">
        <f t="shared" ref="C1389:M1389" si="848">(0.0181224344560457/(0.0328453630665826+0.350336698877979+0.0822572721273277+0.0181224344560457+0.178561789731549)) * 0.339739258622741%</f>
        <v>9.298721318300102E-5</v>
      </c>
      <c r="D1389" s="4">
        <f t="shared" si="848"/>
        <v>9.298721318300102E-5</v>
      </c>
      <c r="E1389" s="4">
        <f t="shared" si="848"/>
        <v>9.298721318300102E-5</v>
      </c>
      <c r="F1389" s="4">
        <f t="shared" si="848"/>
        <v>9.298721318300102E-5</v>
      </c>
      <c r="G1389" s="4">
        <f t="shared" si="848"/>
        <v>9.298721318300102E-5</v>
      </c>
      <c r="H1389" s="4">
        <f t="shared" si="848"/>
        <v>9.298721318300102E-5</v>
      </c>
      <c r="I1389" s="4">
        <f t="shared" si="848"/>
        <v>9.298721318300102E-5</v>
      </c>
      <c r="J1389" s="4">
        <f t="shared" si="848"/>
        <v>9.298721318300102E-5</v>
      </c>
      <c r="K1389" s="4">
        <f t="shared" si="848"/>
        <v>9.298721318300102E-5</v>
      </c>
      <c r="L1389" s="4">
        <f t="shared" si="848"/>
        <v>9.298721318300102E-5</v>
      </c>
      <c r="M1389" s="4">
        <f t="shared" si="848"/>
        <v>9.298721318300102E-5</v>
      </c>
      <c r="N1389" t="s">
        <v>256</v>
      </c>
      <c r="O1389" t="s">
        <v>280</v>
      </c>
      <c r="P1389" t="s">
        <v>351</v>
      </c>
      <c r="Q1389" s="4" t="s">
        <v>245</v>
      </c>
    </row>
    <row r="1390" spans="1:17" x14ac:dyDescent="0.25">
      <c r="A1390" t="s">
        <v>565</v>
      </c>
      <c r="B1390" t="s">
        <v>204</v>
      </c>
      <c r="C1390" s="4">
        <f t="shared" ref="C1390:M1390" si="849">(0.178561789731549/(0.0328453630665826+0.350336698877979+0.0822572721273277+0.0181224344560457+0.178561789731549)) * 0.339739258622741%</f>
        <v>9.162104157902812E-4</v>
      </c>
      <c r="D1390" s="4">
        <f t="shared" si="849"/>
        <v>9.162104157902812E-4</v>
      </c>
      <c r="E1390" s="4">
        <f t="shared" si="849"/>
        <v>9.162104157902812E-4</v>
      </c>
      <c r="F1390" s="4">
        <f t="shared" si="849"/>
        <v>9.162104157902812E-4</v>
      </c>
      <c r="G1390" s="4">
        <f t="shared" si="849"/>
        <v>9.162104157902812E-4</v>
      </c>
      <c r="H1390" s="4">
        <f t="shared" si="849"/>
        <v>9.162104157902812E-4</v>
      </c>
      <c r="I1390" s="4">
        <f t="shared" si="849"/>
        <v>9.162104157902812E-4</v>
      </c>
      <c r="J1390" s="4">
        <f t="shared" si="849"/>
        <v>9.162104157902812E-4</v>
      </c>
      <c r="K1390" s="4">
        <f t="shared" si="849"/>
        <v>9.162104157902812E-4</v>
      </c>
      <c r="L1390" s="4">
        <f t="shared" si="849"/>
        <v>9.162104157902812E-4</v>
      </c>
      <c r="M1390" s="4">
        <f t="shared" si="849"/>
        <v>9.162104157902812E-4</v>
      </c>
      <c r="N1390" t="s">
        <v>256</v>
      </c>
      <c r="O1390" t="s">
        <v>354</v>
      </c>
      <c r="P1390" t="s">
        <v>351</v>
      </c>
      <c r="Q1390" s="4" t="s">
        <v>245</v>
      </c>
    </row>
    <row r="1391" spans="1:17" x14ac:dyDescent="0.25">
      <c r="A1391" t="s">
        <v>565</v>
      </c>
      <c r="B1391" t="s">
        <v>108</v>
      </c>
      <c r="C1391" s="4">
        <f t="shared" ref="C1391:M1391" si="850">(0.0328453630665826/(0.0328453630665826+0.350336698877979+0.0822572721273277+0.0181224344560457+0.178561789731549)) * 0.34241703024151%</f>
        <v>1.6985971180405882E-4</v>
      </c>
      <c r="D1391" s="4">
        <f t="shared" si="850"/>
        <v>1.6985971180405882E-4</v>
      </c>
      <c r="E1391" s="4">
        <f t="shared" si="850"/>
        <v>1.6985971180405882E-4</v>
      </c>
      <c r="F1391" s="4">
        <f t="shared" si="850"/>
        <v>1.6985971180405882E-4</v>
      </c>
      <c r="G1391" s="4">
        <f t="shared" si="850"/>
        <v>1.6985971180405882E-4</v>
      </c>
      <c r="H1391" s="4">
        <f t="shared" si="850"/>
        <v>1.6985971180405882E-4</v>
      </c>
      <c r="I1391" s="4">
        <f t="shared" si="850"/>
        <v>1.6985971180405882E-4</v>
      </c>
      <c r="J1391" s="4">
        <f t="shared" si="850"/>
        <v>1.6985971180405882E-4</v>
      </c>
      <c r="K1391" s="4">
        <f t="shared" si="850"/>
        <v>1.6985971180405882E-4</v>
      </c>
      <c r="L1391" s="4">
        <f t="shared" si="850"/>
        <v>1.6985971180405882E-4</v>
      </c>
      <c r="M1391" s="4">
        <f t="shared" si="850"/>
        <v>1.6985971180405882E-4</v>
      </c>
      <c r="N1391" t="s">
        <v>242</v>
      </c>
      <c r="O1391" t="s">
        <v>358</v>
      </c>
      <c r="P1391" t="s">
        <v>351</v>
      </c>
      <c r="Q1391" s="4" t="s">
        <v>245</v>
      </c>
    </row>
    <row r="1392" spans="1:17" x14ac:dyDescent="0.25">
      <c r="A1392" t="s">
        <v>565</v>
      </c>
      <c r="B1392" t="s">
        <v>108</v>
      </c>
      <c r="C1392" s="4">
        <f t="shared" ref="C1392:M1392" si="851">(0.350336698877979/(0.0328453630665826+0.350336698877979+0.0822572721273277+0.0181224344560457+0.178561789731549)) * 0.34241703024151%</f>
        <v>1.8117653498049876E-3</v>
      </c>
      <c r="D1392" s="4">
        <f t="shared" si="851"/>
        <v>1.8117653498049876E-3</v>
      </c>
      <c r="E1392" s="4">
        <f t="shared" si="851"/>
        <v>1.8117653498049876E-3</v>
      </c>
      <c r="F1392" s="4">
        <f t="shared" si="851"/>
        <v>1.8117653498049876E-3</v>
      </c>
      <c r="G1392" s="4">
        <f t="shared" si="851"/>
        <v>1.8117653498049876E-3</v>
      </c>
      <c r="H1392" s="4">
        <f t="shared" si="851"/>
        <v>1.8117653498049876E-3</v>
      </c>
      <c r="I1392" s="4">
        <f t="shared" si="851"/>
        <v>1.8117653498049876E-3</v>
      </c>
      <c r="J1392" s="4">
        <f t="shared" si="851"/>
        <v>1.8117653498049876E-3</v>
      </c>
      <c r="K1392" s="4">
        <f t="shared" si="851"/>
        <v>1.8117653498049876E-3</v>
      </c>
      <c r="L1392" s="4">
        <f t="shared" si="851"/>
        <v>1.8117653498049876E-3</v>
      </c>
      <c r="M1392" s="4">
        <f t="shared" si="851"/>
        <v>1.8117653498049876E-3</v>
      </c>
      <c r="N1392" t="s">
        <v>256</v>
      </c>
      <c r="O1392" t="s">
        <v>356</v>
      </c>
      <c r="P1392" t="s">
        <v>351</v>
      </c>
      <c r="Q1392" s="4" t="s">
        <v>245</v>
      </c>
    </row>
    <row r="1393" spans="1:17" x14ac:dyDescent="0.25">
      <c r="A1393" t="s">
        <v>565</v>
      </c>
      <c r="B1393" t="s">
        <v>108</v>
      </c>
      <c r="C1393" s="4">
        <f t="shared" ref="C1393:M1393" si="852">(0.0822572721273277/(0.0328453630665826+0.350336698877979+0.0822572721273277+0.0181224344560457+0.178561789731549)) * 0.34241703024151%</f>
        <v>4.2539327420470678E-4</v>
      </c>
      <c r="D1393" s="4">
        <f t="shared" si="852"/>
        <v>4.2539327420470678E-4</v>
      </c>
      <c r="E1393" s="4">
        <f t="shared" si="852"/>
        <v>4.2539327420470678E-4</v>
      </c>
      <c r="F1393" s="4">
        <f t="shared" si="852"/>
        <v>4.2539327420470678E-4</v>
      </c>
      <c r="G1393" s="4">
        <f t="shared" si="852"/>
        <v>4.2539327420470678E-4</v>
      </c>
      <c r="H1393" s="4">
        <f t="shared" si="852"/>
        <v>4.2539327420470678E-4</v>
      </c>
      <c r="I1393" s="4">
        <f t="shared" si="852"/>
        <v>4.2539327420470678E-4</v>
      </c>
      <c r="J1393" s="4">
        <f t="shared" si="852"/>
        <v>4.2539327420470678E-4</v>
      </c>
      <c r="K1393" s="4">
        <f t="shared" si="852"/>
        <v>4.2539327420470678E-4</v>
      </c>
      <c r="L1393" s="4">
        <f t="shared" si="852"/>
        <v>4.2539327420470678E-4</v>
      </c>
      <c r="M1393" s="4">
        <f t="shared" si="852"/>
        <v>4.2539327420470678E-4</v>
      </c>
      <c r="N1393" t="s">
        <v>256</v>
      </c>
      <c r="O1393" t="s">
        <v>353</v>
      </c>
      <c r="P1393" t="s">
        <v>351</v>
      </c>
      <c r="Q1393" s="4" t="s">
        <v>245</v>
      </c>
    </row>
    <row r="1394" spans="1:17" x14ac:dyDescent="0.25">
      <c r="A1394" t="s">
        <v>565</v>
      </c>
      <c r="B1394" t="s">
        <v>108</v>
      </c>
      <c r="C1394" s="4">
        <f t="shared" ref="C1394:M1394" si="853">(0.0181224344560457/(0.0328453630665826+0.350336698877979+0.0822572721273277+0.0181224344560457+0.178561789731549)) * 0.34241703024151%</f>
        <v>9.3720123831535619E-5</v>
      </c>
      <c r="D1394" s="4">
        <f t="shared" si="853"/>
        <v>9.3720123831535619E-5</v>
      </c>
      <c r="E1394" s="4">
        <f t="shared" si="853"/>
        <v>9.3720123831535619E-5</v>
      </c>
      <c r="F1394" s="4">
        <f t="shared" si="853"/>
        <v>9.3720123831535619E-5</v>
      </c>
      <c r="G1394" s="4">
        <f t="shared" si="853"/>
        <v>9.3720123831535619E-5</v>
      </c>
      <c r="H1394" s="4">
        <f t="shared" si="853"/>
        <v>9.3720123831535619E-5</v>
      </c>
      <c r="I1394" s="4">
        <f t="shared" si="853"/>
        <v>9.3720123831535619E-5</v>
      </c>
      <c r="J1394" s="4">
        <f t="shared" si="853"/>
        <v>9.3720123831535619E-5</v>
      </c>
      <c r="K1394" s="4">
        <f t="shared" si="853"/>
        <v>9.3720123831535619E-5</v>
      </c>
      <c r="L1394" s="4">
        <f t="shared" si="853"/>
        <v>9.3720123831535619E-5</v>
      </c>
      <c r="M1394" s="4">
        <f t="shared" si="853"/>
        <v>9.3720123831535619E-5</v>
      </c>
      <c r="N1394" t="s">
        <v>256</v>
      </c>
      <c r="O1394" t="s">
        <v>280</v>
      </c>
      <c r="P1394" t="s">
        <v>351</v>
      </c>
      <c r="Q1394" s="4" t="s">
        <v>245</v>
      </c>
    </row>
    <row r="1395" spans="1:17" x14ac:dyDescent="0.25">
      <c r="A1395" t="s">
        <v>565</v>
      </c>
      <c r="B1395" t="s">
        <v>108</v>
      </c>
      <c r="C1395" s="4">
        <f t="shared" ref="C1395:M1395" si="854">(0.178561789731549/(0.0328453630665826+0.350336698877979+0.0822572721273277+0.0181224344560457+0.178561789731549)) * 0.34241703024151%</f>
        <v>9.2343184276981092E-4</v>
      </c>
      <c r="D1395" s="4">
        <f t="shared" si="854"/>
        <v>9.2343184276981092E-4</v>
      </c>
      <c r="E1395" s="4">
        <f t="shared" si="854"/>
        <v>9.2343184276981092E-4</v>
      </c>
      <c r="F1395" s="4">
        <f t="shared" si="854"/>
        <v>9.2343184276981092E-4</v>
      </c>
      <c r="G1395" s="4">
        <f t="shared" si="854"/>
        <v>9.2343184276981092E-4</v>
      </c>
      <c r="H1395" s="4">
        <f t="shared" si="854"/>
        <v>9.2343184276981092E-4</v>
      </c>
      <c r="I1395" s="4">
        <f t="shared" si="854"/>
        <v>9.2343184276981092E-4</v>
      </c>
      <c r="J1395" s="4">
        <f t="shared" si="854"/>
        <v>9.2343184276981092E-4</v>
      </c>
      <c r="K1395" s="4">
        <f t="shared" si="854"/>
        <v>9.2343184276981092E-4</v>
      </c>
      <c r="L1395" s="4">
        <f t="shared" si="854"/>
        <v>9.2343184276981092E-4</v>
      </c>
      <c r="M1395" s="4">
        <f t="shared" si="854"/>
        <v>9.2343184276981092E-4</v>
      </c>
      <c r="N1395" t="s">
        <v>256</v>
      </c>
      <c r="O1395" t="s">
        <v>354</v>
      </c>
      <c r="P1395" t="s">
        <v>351</v>
      </c>
      <c r="Q1395" s="4" t="s">
        <v>245</v>
      </c>
    </row>
    <row r="1396" spans="1:17" x14ac:dyDescent="0.25">
      <c r="A1396" t="s">
        <v>565</v>
      </c>
      <c r="B1396" t="s">
        <v>205</v>
      </c>
      <c r="C1396" s="4">
        <f t="shared" ref="C1396:M1396" si="855">(0.0328453630665826/(0.0328453630665826+0.350336698877979+0.0822572721273277+0.0181224344560457+0.178561789731549)) * 0.458960405829557%</f>
        <v>2.2767232753784851E-4</v>
      </c>
      <c r="D1396" s="4">
        <f t="shared" si="855"/>
        <v>2.2767232753784851E-4</v>
      </c>
      <c r="E1396" s="4">
        <f t="shared" si="855"/>
        <v>2.2767232753784851E-4</v>
      </c>
      <c r="F1396" s="4">
        <f t="shared" si="855"/>
        <v>2.2767232753784851E-4</v>
      </c>
      <c r="G1396" s="4">
        <f t="shared" si="855"/>
        <v>2.2767232753784851E-4</v>
      </c>
      <c r="H1396" s="4">
        <f t="shared" si="855"/>
        <v>2.2767232753784851E-4</v>
      </c>
      <c r="I1396" s="4">
        <f t="shared" si="855"/>
        <v>2.2767232753784851E-4</v>
      </c>
      <c r="J1396" s="4">
        <f t="shared" si="855"/>
        <v>2.2767232753784851E-4</v>
      </c>
      <c r="K1396" s="4">
        <f t="shared" si="855"/>
        <v>2.2767232753784851E-4</v>
      </c>
      <c r="L1396" s="4">
        <f t="shared" si="855"/>
        <v>2.2767232753784851E-4</v>
      </c>
      <c r="M1396" s="4">
        <f t="shared" si="855"/>
        <v>2.2767232753784851E-4</v>
      </c>
      <c r="N1396" t="s">
        <v>242</v>
      </c>
      <c r="O1396" t="s">
        <v>358</v>
      </c>
      <c r="P1396" t="s">
        <v>351</v>
      </c>
      <c r="Q1396" s="4" t="s">
        <v>245</v>
      </c>
    </row>
    <row r="1397" spans="1:17" x14ac:dyDescent="0.25">
      <c r="A1397" t="s">
        <v>565</v>
      </c>
      <c r="B1397" t="s">
        <v>205</v>
      </c>
      <c r="C1397" s="4">
        <f t="shared" ref="C1397:M1397" si="856">(0.350336698877979/(0.0328453630665826+0.350336698877979+0.0822572721273277+0.0181224344560457+0.178561789731549)) * 0.458960405829557%</f>
        <v>2.4284088896745046E-3</v>
      </c>
      <c r="D1397" s="4">
        <f t="shared" si="856"/>
        <v>2.4284088896745046E-3</v>
      </c>
      <c r="E1397" s="4">
        <f t="shared" si="856"/>
        <v>2.4284088896745046E-3</v>
      </c>
      <c r="F1397" s="4">
        <f t="shared" si="856"/>
        <v>2.4284088896745046E-3</v>
      </c>
      <c r="G1397" s="4">
        <f t="shared" si="856"/>
        <v>2.4284088896745046E-3</v>
      </c>
      <c r="H1397" s="4">
        <f t="shared" si="856"/>
        <v>2.4284088896745046E-3</v>
      </c>
      <c r="I1397" s="4">
        <f t="shared" si="856"/>
        <v>2.4284088896745046E-3</v>
      </c>
      <c r="J1397" s="4">
        <f t="shared" si="856"/>
        <v>2.4284088896745046E-3</v>
      </c>
      <c r="K1397" s="4">
        <f t="shared" si="856"/>
        <v>2.4284088896745046E-3</v>
      </c>
      <c r="L1397" s="4">
        <f t="shared" si="856"/>
        <v>2.4284088896745046E-3</v>
      </c>
      <c r="M1397" s="4">
        <f t="shared" si="856"/>
        <v>2.4284088896745046E-3</v>
      </c>
      <c r="N1397" t="s">
        <v>256</v>
      </c>
      <c r="O1397" t="s">
        <v>356</v>
      </c>
      <c r="P1397" t="s">
        <v>351</v>
      </c>
      <c r="Q1397" s="4" t="s">
        <v>245</v>
      </c>
    </row>
    <row r="1398" spans="1:17" x14ac:dyDescent="0.25">
      <c r="A1398" t="s">
        <v>565</v>
      </c>
      <c r="B1398" t="s">
        <v>205</v>
      </c>
      <c r="C1398" s="4">
        <f t="shared" ref="C1398:M1398" si="857">(0.0822572721273277/(0.0328453630665826+0.350336698877979+0.0822572721273277+0.0181224344560457+0.178561789731549)) * 0.458960405829557%</f>
        <v>5.7017803591267817E-4</v>
      </c>
      <c r="D1398" s="4">
        <f t="shared" si="857"/>
        <v>5.7017803591267817E-4</v>
      </c>
      <c r="E1398" s="4">
        <f t="shared" si="857"/>
        <v>5.7017803591267817E-4</v>
      </c>
      <c r="F1398" s="4">
        <f t="shared" si="857"/>
        <v>5.7017803591267817E-4</v>
      </c>
      <c r="G1398" s="4">
        <f t="shared" si="857"/>
        <v>5.7017803591267817E-4</v>
      </c>
      <c r="H1398" s="4">
        <f t="shared" si="857"/>
        <v>5.7017803591267817E-4</v>
      </c>
      <c r="I1398" s="4">
        <f t="shared" si="857"/>
        <v>5.7017803591267817E-4</v>
      </c>
      <c r="J1398" s="4">
        <f t="shared" si="857"/>
        <v>5.7017803591267817E-4</v>
      </c>
      <c r="K1398" s="4">
        <f t="shared" si="857"/>
        <v>5.7017803591267817E-4</v>
      </c>
      <c r="L1398" s="4">
        <f t="shared" si="857"/>
        <v>5.7017803591267817E-4</v>
      </c>
      <c r="M1398" s="4">
        <f t="shared" si="857"/>
        <v>5.7017803591267817E-4</v>
      </c>
      <c r="N1398" t="s">
        <v>256</v>
      </c>
      <c r="O1398" t="s">
        <v>353</v>
      </c>
      <c r="P1398" t="s">
        <v>351</v>
      </c>
      <c r="Q1398" s="4" t="s">
        <v>245</v>
      </c>
    </row>
    <row r="1399" spans="1:17" x14ac:dyDescent="0.25">
      <c r="A1399" t="s">
        <v>565</v>
      </c>
      <c r="B1399" t="s">
        <v>205</v>
      </c>
      <c r="C1399" s="4">
        <f t="shared" ref="C1399:M1399" si="858">(0.0181224344560457/(0.0328453630665826+0.350336698877979+0.0822572721273277+0.0181224344560457+0.178561789731549)) * 0.458960405829557%</f>
        <v>1.256182440393805E-4</v>
      </c>
      <c r="D1399" s="4">
        <f t="shared" si="858"/>
        <v>1.256182440393805E-4</v>
      </c>
      <c r="E1399" s="4">
        <f t="shared" si="858"/>
        <v>1.256182440393805E-4</v>
      </c>
      <c r="F1399" s="4">
        <f t="shared" si="858"/>
        <v>1.256182440393805E-4</v>
      </c>
      <c r="G1399" s="4">
        <f t="shared" si="858"/>
        <v>1.256182440393805E-4</v>
      </c>
      <c r="H1399" s="4">
        <f t="shared" si="858"/>
        <v>1.256182440393805E-4</v>
      </c>
      <c r="I1399" s="4">
        <f t="shared" si="858"/>
        <v>1.256182440393805E-4</v>
      </c>
      <c r="J1399" s="4">
        <f t="shared" si="858"/>
        <v>1.256182440393805E-4</v>
      </c>
      <c r="K1399" s="4">
        <f t="shared" si="858"/>
        <v>1.256182440393805E-4</v>
      </c>
      <c r="L1399" s="4">
        <f t="shared" si="858"/>
        <v>1.256182440393805E-4</v>
      </c>
      <c r="M1399" s="4">
        <f t="shared" si="858"/>
        <v>1.256182440393805E-4</v>
      </c>
      <c r="N1399" t="s">
        <v>256</v>
      </c>
      <c r="O1399" t="s">
        <v>280</v>
      </c>
      <c r="P1399" t="s">
        <v>351</v>
      </c>
      <c r="Q1399" s="4" t="s">
        <v>245</v>
      </c>
    </row>
    <row r="1400" spans="1:17" x14ac:dyDescent="0.25">
      <c r="A1400" t="s">
        <v>565</v>
      </c>
      <c r="B1400" t="s">
        <v>205</v>
      </c>
      <c r="C1400" s="4">
        <f t="shared" ref="C1400:M1400" si="859">(0.178561789731549/(0.0328453630665826+0.350336698877979+0.0822572721273277+0.0181224344560457+0.178561789731549)) * 0.458960405829557%</f>
        <v>1.2377265611311589E-3</v>
      </c>
      <c r="D1400" s="4">
        <f t="shared" si="859"/>
        <v>1.2377265611311589E-3</v>
      </c>
      <c r="E1400" s="4">
        <f t="shared" si="859"/>
        <v>1.2377265611311589E-3</v>
      </c>
      <c r="F1400" s="4">
        <f t="shared" si="859"/>
        <v>1.2377265611311589E-3</v>
      </c>
      <c r="G1400" s="4">
        <f t="shared" si="859"/>
        <v>1.2377265611311589E-3</v>
      </c>
      <c r="H1400" s="4">
        <f t="shared" si="859"/>
        <v>1.2377265611311589E-3</v>
      </c>
      <c r="I1400" s="4">
        <f t="shared" si="859"/>
        <v>1.2377265611311589E-3</v>
      </c>
      <c r="J1400" s="4">
        <f t="shared" si="859"/>
        <v>1.2377265611311589E-3</v>
      </c>
      <c r="K1400" s="4">
        <f t="shared" si="859"/>
        <v>1.2377265611311589E-3</v>
      </c>
      <c r="L1400" s="4">
        <f t="shared" si="859"/>
        <v>1.2377265611311589E-3</v>
      </c>
      <c r="M1400" s="4">
        <f t="shared" si="859"/>
        <v>1.2377265611311589E-3</v>
      </c>
      <c r="N1400" t="s">
        <v>256</v>
      </c>
      <c r="O1400" t="s">
        <v>354</v>
      </c>
      <c r="P1400" t="s">
        <v>351</v>
      </c>
      <c r="Q1400" s="4" t="s">
        <v>245</v>
      </c>
    </row>
    <row r="1401" spans="1:17" x14ac:dyDescent="0.25">
      <c r="A1401" t="s">
        <v>565</v>
      </c>
      <c r="B1401" t="s">
        <v>179</v>
      </c>
      <c r="C1401" s="4">
        <f t="shared" ref="C1401:M1401" si="860">(0.0328453630665826/(0.0328453630665826+0.350336698877979+0.0822572721273277+0.0181224344560457+0.178561789731549)) * 0.0593210847797572%</f>
        <v>2.9426872715667252E-5</v>
      </c>
      <c r="D1401" s="4">
        <f t="shared" si="860"/>
        <v>2.9426872715667252E-5</v>
      </c>
      <c r="E1401" s="4">
        <f t="shared" si="860"/>
        <v>2.9426872715667252E-5</v>
      </c>
      <c r="F1401" s="4">
        <f t="shared" si="860"/>
        <v>2.9426872715667252E-5</v>
      </c>
      <c r="G1401" s="4">
        <f t="shared" si="860"/>
        <v>2.9426872715667252E-5</v>
      </c>
      <c r="H1401" s="4">
        <f t="shared" si="860"/>
        <v>2.9426872715667252E-5</v>
      </c>
      <c r="I1401" s="4">
        <f t="shared" si="860"/>
        <v>2.9426872715667252E-5</v>
      </c>
      <c r="J1401" s="4">
        <f t="shared" si="860"/>
        <v>2.9426872715667252E-5</v>
      </c>
      <c r="K1401" s="4">
        <f t="shared" si="860"/>
        <v>2.9426872715667252E-5</v>
      </c>
      <c r="L1401" s="4">
        <f t="shared" si="860"/>
        <v>2.9426872715667252E-5</v>
      </c>
      <c r="M1401" s="4">
        <f t="shared" si="860"/>
        <v>2.9426872715667252E-5</v>
      </c>
      <c r="N1401" t="s">
        <v>242</v>
      </c>
      <c r="O1401" t="s">
        <v>358</v>
      </c>
      <c r="P1401" t="s">
        <v>351</v>
      </c>
      <c r="Q1401" s="4" t="s">
        <v>245</v>
      </c>
    </row>
    <row r="1402" spans="1:17" x14ac:dyDescent="0.25">
      <c r="A1402" t="s">
        <v>565</v>
      </c>
      <c r="B1402" t="s">
        <v>179</v>
      </c>
      <c r="C1402" s="4">
        <f t="shared" ref="C1402:M1402" si="861">(0.350336698877979/(0.0328453630665826+0.350336698877979+0.0822572721273277+0.0181224344560457+0.178561789731549)) * 0.0593210847797572%</f>
        <v>3.138742422974826E-4</v>
      </c>
      <c r="D1402" s="4">
        <f t="shared" si="861"/>
        <v>3.138742422974826E-4</v>
      </c>
      <c r="E1402" s="4">
        <f t="shared" si="861"/>
        <v>3.138742422974826E-4</v>
      </c>
      <c r="F1402" s="4">
        <f t="shared" si="861"/>
        <v>3.138742422974826E-4</v>
      </c>
      <c r="G1402" s="4">
        <f t="shared" si="861"/>
        <v>3.138742422974826E-4</v>
      </c>
      <c r="H1402" s="4">
        <f t="shared" si="861"/>
        <v>3.138742422974826E-4</v>
      </c>
      <c r="I1402" s="4">
        <f t="shared" si="861"/>
        <v>3.138742422974826E-4</v>
      </c>
      <c r="J1402" s="4">
        <f t="shared" si="861"/>
        <v>3.138742422974826E-4</v>
      </c>
      <c r="K1402" s="4">
        <f t="shared" si="861"/>
        <v>3.138742422974826E-4</v>
      </c>
      <c r="L1402" s="4">
        <f t="shared" si="861"/>
        <v>3.138742422974826E-4</v>
      </c>
      <c r="M1402" s="4">
        <f t="shared" si="861"/>
        <v>3.138742422974826E-4</v>
      </c>
      <c r="N1402" t="s">
        <v>256</v>
      </c>
      <c r="O1402" t="s">
        <v>356</v>
      </c>
      <c r="P1402" t="s">
        <v>351</v>
      </c>
      <c r="Q1402" s="4" t="s">
        <v>245</v>
      </c>
    </row>
    <row r="1403" spans="1:17" x14ac:dyDescent="0.25">
      <c r="A1403" t="s">
        <v>565</v>
      </c>
      <c r="B1403" t="s">
        <v>179</v>
      </c>
      <c r="C1403" s="4">
        <f t="shared" ref="C1403:M1403" si="862">(0.0822572721273277/(0.0328453630665826+0.350336698877979+0.0822572721273277+0.0181224344560457+0.178561789731549)) * 0.0593210847797572%</f>
        <v>7.3696073078017101E-5</v>
      </c>
      <c r="D1403" s="4">
        <f t="shared" si="862"/>
        <v>7.3696073078017101E-5</v>
      </c>
      <c r="E1403" s="4">
        <f t="shared" si="862"/>
        <v>7.3696073078017101E-5</v>
      </c>
      <c r="F1403" s="4">
        <f t="shared" si="862"/>
        <v>7.3696073078017101E-5</v>
      </c>
      <c r="G1403" s="4">
        <f t="shared" si="862"/>
        <v>7.3696073078017101E-5</v>
      </c>
      <c r="H1403" s="4">
        <f t="shared" si="862"/>
        <v>7.3696073078017101E-5</v>
      </c>
      <c r="I1403" s="4">
        <f t="shared" si="862"/>
        <v>7.3696073078017101E-5</v>
      </c>
      <c r="J1403" s="4">
        <f t="shared" si="862"/>
        <v>7.3696073078017101E-5</v>
      </c>
      <c r="K1403" s="4">
        <f t="shared" si="862"/>
        <v>7.3696073078017101E-5</v>
      </c>
      <c r="L1403" s="4">
        <f t="shared" si="862"/>
        <v>7.3696073078017101E-5</v>
      </c>
      <c r="M1403" s="4">
        <f t="shared" si="862"/>
        <v>7.3696073078017101E-5</v>
      </c>
      <c r="N1403" t="s">
        <v>256</v>
      </c>
      <c r="O1403" t="s">
        <v>353</v>
      </c>
      <c r="P1403" t="s">
        <v>351</v>
      </c>
      <c r="Q1403" s="4" t="s">
        <v>245</v>
      </c>
    </row>
    <row r="1404" spans="1:17" x14ac:dyDescent="0.25">
      <c r="A1404" t="s">
        <v>565</v>
      </c>
      <c r="B1404" t="s">
        <v>179</v>
      </c>
      <c r="C1404" s="4">
        <f t="shared" ref="C1404:M1404" si="863">(0.0181224344560457/(0.0328453630665826+0.350336698877979+0.0822572721273277+0.0181224344560457+0.178561789731549)) * 0.0593210847797572%</f>
        <v>1.6236281844564341E-5</v>
      </c>
      <c r="D1404" s="4">
        <f t="shared" si="863"/>
        <v>1.6236281844564341E-5</v>
      </c>
      <c r="E1404" s="4">
        <f t="shared" si="863"/>
        <v>1.6236281844564341E-5</v>
      </c>
      <c r="F1404" s="4">
        <f t="shared" si="863"/>
        <v>1.6236281844564341E-5</v>
      </c>
      <c r="G1404" s="4">
        <f t="shared" si="863"/>
        <v>1.6236281844564341E-5</v>
      </c>
      <c r="H1404" s="4">
        <f t="shared" si="863"/>
        <v>1.6236281844564341E-5</v>
      </c>
      <c r="I1404" s="4">
        <f t="shared" si="863"/>
        <v>1.6236281844564341E-5</v>
      </c>
      <c r="J1404" s="4">
        <f t="shared" si="863"/>
        <v>1.6236281844564341E-5</v>
      </c>
      <c r="K1404" s="4">
        <f t="shared" si="863"/>
        <v>1.6236281844564341E-5</v>
      </c>
      <c r="L1404" s="4">
        <f t="shared" si="863"/>
        <v>1.6236281844564341E-5</v>
      </c>
      <c r="M1404" s="4">
        <f t="shared" si="863"/>
        <v>1.6236281844564341E-5</v>
      </c>
      <c r="N1404" t="s">
        <v>256</v>
      </c>
      <c r="O1404" t="s">
        <v>280</v>
      </c>
      <c r="P1404" t="s">
        <v>351</v>
      </c>
      <c r="Q1404" s="4" t="s">
        <v>245</v>
      </c>
    </row>
    <row r="1405" spans="1:17" x14ac:dyDescent="0.25">
      <c r="A1405" t="s">
        <v>565</v>
      </c>
      <c r="B1405" t="s">
        <v>179</v>
      </c>
      <c r="C1405" s="4">
        <f t="shared" ref="C1405:M1405" si="864">(0.178561789731549/(0.0328453630665826+0.350336698877979+0.0822572721273277+0.0181224344560457+0.178561789731549)) * 0.0593210847797572%</f>
        <v>1.599773778618407E-4</v>
      </c>
      <c r="D1405" s="4">
        <f t="shared" si="864"/>
        <v>1.599773778618407E-4</v>
      </c>
      <c r="E1405" s="4">
        <f t="shared" si="864"/>
        <v>1.599773778618407E-4</v>
      </c>
      <c r="F1405" s="4">
        <f t="shared" si="864"/>
        <v>1.599773778618407E-4</v>
      </c>
      <c r="G1405" s="4">
        <f t="shared" si="864"/>
        <v>1.599773778618407E-4</v>
      </c>
      <c r="H1405" s="4">
        <f t="shared" si="864"/>
        <v>1.599773778618407E-4</v>
      </c>
      <c r="I1405" s="4">
        <f t="shared" si="864"/>
        <v>1.599773778618407E-4</v>
      </c>
      <c r="J1405" s="4">
        <f t="shared" si="864"/>
        <v>1.599773778618407E-4</v>
      </c>
      <c r="K1405" s="4">
        <f t="shared" si="864"/>
        <v>1.599773778618407E-4</v>
      </c>
      <c r="L1405" s="4">
        <f t="shared" si="864"/>
        <v>1.599773778618407E-4</v>
      </c>
      <c r="M1405" s="4">
        <f t="shared" si="864"/>
        <v>1.599773778618407E-4</v>
      </c>
      <c r="N1405" t="s">
        <v>256</v>
      </c>
      <c r="O1405" t="s">
        <v>354</v>
      </c>
      <c r="P1405" t="s">
        <v>351</v>
      </c>
      <c r="Q1405" s="4" t="s">
        <v>245</v>
      </c>
    </row>
    <row r="1406" spans="1:17" x14ac:dyDescent="0.25">
      <c r="A1406" t="s">
        <v>565</v>
      </c>
      <c r="B1406" t="s">
        <v>109</v>
      </c>
      <c r="C1406" s="4">
        <f t="shared" ref="C1406:M1406" si="865">(0.0328453630665826/(0.0328453630665826+0.350336698877979+0.0822572721273277+0.0181224344560457+0.178561789731549)) * 0.00489718593342445%</f>
        <v>2.4293026276049032E-6</v>
      </c>
      <c r="D1406" s="4">
        <f t="shared" si="865"/>
        <v>2.4293026276049032E-6</v>
      </c>
      <c r="E1406" s="4">
        <f t="shared" si="865"/>
        <v>2.4293026276049032E-6</v>
      </c>
      <c r="F1406" s="4">
        <f t="shared" si="865"/>
        <v>2.4293026276049032E-6</v>
      </c>
      <c r="G1406" s="4">
        <f t="shared" si="865"/>
        <v>2.4293026276049032E-6</v>
      </c>
      <c r="H1406" s="4">
        <f t="shared" si="865"/>
        <v>2.4293026276049032E-6</v>
      </c>
      <c r="I1406" s="4">
        <f t="shared" si="865"/>
        <v>2.4293026276049032E-6</v>
      </c>
      <c r="J1406" s="4">
        <f t="shared" si="865"/>
        <v>2.4293026276049032E-6</v>
      </c>
      <c r="K1406" s="4">
        <f t="shared" si="865"/>
        <v>2.4293026276049032E-6</v>
      </c>
      <c r="L1406" s="4">
        <f t="shared" si="865"/>
        <v>2.4293026276049032E-6</v>
      </c>
      <c r="M1406" s="4">
        <f t="shared" si="865"/>
        <v>2.4293026276049032E-6</v>
      </c>
      <c r="N1406" t="s">
        <v>242</v>
      </c>
      <c r="O1406" t="s">
        <v>358</v>
      </c>
      <c r="P1406" t="s">
        <v>351</v>
      </c>
      <c r="Q1406" s="4" t="s">
        <v>245</v>
      </c>
    </row>
    <row r="1407" spans="1:17" x14ac:dyDescent="0.25">
      <c r="A1407" t="s">
        <v>565</v>
      </c>
      <c r="B1407" t="s">
        <v>109</v>
      </c>
      <c r="C1407" s="4">
        <f t="shared" ref="C1407:M1407" si="866">(0.350336698877979/(0.0328453630665826+0.350336698877979+0.0822572721273277+0.0181224344560457+0.178561789731549)) * 0.00489718593342445%</f>
        <v>2.5911537692716157E-5</v>
      </c>
      <c r="D1407" s="4">
        <f t="shared" si="866"/>
        <v>2.5911537692716157E-5</v>
      </c>
      <c r="E1407" s="4">
        <f t="shared" si="866"/>
        <v>2.5911537692716157E-5</v>
      </c>
      <c r="F1407" s="4">
        <f t="shared" si="866"/>
        <v>2.5911537692716157E-5</v>
      </c>
      <c r="G1407" s="4">
        <f t="shared" si="866"/>
        <v>2.5911537692716157E-5</v>
      </c>
      <c r="H1407" s="4">
        <f t="shared" si="866"/>
        <v>2.5911537692716157E-5</v>
      </c>
      <c r="I1407" s="4">
        <f t="shared" si="866"/>
        <v>2.5911537692716157E-5</v>
      </c>
      <c r="J1407" s="4">
        <f t="shared" si="866"/>
        <v>2.5911537692716157E-5</v>
      </c>
      <c r="K1407" s="4">
        <f t="shared" si="866"/>
        <v>2.5911537692716157E-5</v>
      </c>
      <c r="L1407" s="4">
        <f t="shared" si="866"/>
        <v>2.5911537692716157E-5</v>
      </c>
      <c r="M1407" s="4">
        <f t="shared" si="866"/>
        <v>2.5911537692716157E-5</v>
      </c>
      <c r="N1407" t="s">
        <v>256</v>
      </c>
      <c r="O1407" t="s">
        <v>356</v>
      </c>
      <c r="P1407" t="s">
        <v>351</v>
      </c>
      <c r="Q1407" s="4" t="s">
        <v>245</v>
      </c>
    </row>
    <row r="1408" spans="1:17" x14ac:dyDescent="0.25">
      <c r="A1408" t="s">
        <v>565</v>
      </c>
      <c r="B1408" t="s">
        <v>109</v>
      </c>
      <c r="C1408" s="4">
        <f t="shared" ref="C1408:M1408" si="867">(0.0822572721273277/(0.0328453630665826+0.350336698877979+0.0822572721273277+0.0181224344560457+0.178561789731549)) * 0.00489718593342445%</f>
        <v>6.0838970454808806E-6</v>
      </c>
      <c r="D1408" s="4">
        <f t="shared" si="867"/>
        <v>6.0838970454808806E-6</v>
      </c>
      <c r="E1408" s="4">
        <f t="shared" si="867"/>
        <v>6.0838970454808806E-6</v>
      </c>
      <c r="F1408" s="4">
        <f t="shared" si="867"/>
        <v>6.0838970454808806E-6</v>
      </c>
      <c r="G1408" s="4">
        <f t="shared" si="867"/>
        <v>6.0838970454808806E-6</v>
      </c>
      <c r="H1408" s="4">
        <f t="shared" si="867"/>
        <v>6.0838970454808806E-6</v>
      </c>
      <c r="I1408" s="4">
        <f t="shared" si="867"/>
        <v>6.0838970454808806E-6</v>
      </c>
      <c r="J1408" s="4">
        <f t="shared" si="867"/>
        <v>6.0838970454808806E-6</v>
      </c>
      <c r="K1408" s="4">
        <f t="shared" si="867"/>
        <v>6.0838970454808806E-6</v>
      </c>
      <c r="L1408" s="4">
        <f t="shared" si="867"/>
        <v>6.0838970454808806E-6</v>
      </c>
      <c r="M1408" s="4">
        <f t="shared" si="867"/>
        <v>6.0838970454808806E-6</v>
      </c>
      <c r="N1408" t="s">
        <v>256</v>
      </c>
      <c r="O1408" t="s">
        <v>353</v>
      </c>
      <c r="P1408" t="s">
        <v>351</v>
      </c>
      <c r="Q1408" s="4" t="s">
        <v>245</v>
      </c>
    </row>
    <row r="1409" spans="1:17" x14ac:dyDescent="0.25">
      <c r="A1409" t="s">
        <v>565</v>
      </c>
      <c r="B1409" t="s">
        <v>109</v>
      </c>
      <c r="C1409" s="4">
        <f t="shared" ref="C1409:M1409" si="868">(0.0181224344560457/(0.0328453630665826+0.350336698877979+0.0822572721273277+0.0181224344560457+0.178561789731549)) * 0.00489718593342445%</f>
        <v>1.3403681229957562E-6</v>
      </c>
      <c r="D1409" s="4">
        <f t="shared" si="868"/>
        <v>1.3403681229957562E-6</v>
      </c>
      <c r="E1409" s="4">
        <f t="shared" si="868"/>
        <v>1.3403681229957562E-6</v>
      </c>
      <c r="F1409" s="4">
        <f t="shared" si="868"/>
        <v>1.3403681229957562E-6</v>
      </c>
      <c r="G1409" s="4">
        <f t="shared" si="868"/>
        <v>1.3403681229957562E-6</v>
      </c>
      <c r="H1409" s="4">
        <f t="shared" si="868"/>
        <v>1.3403681229957562E-6</v>
      </c>
      <c r="I1409" s="4">
        <f t="shared" si="868"/>
        <v>1.3403681229957562E-6</v>
      </c>
      <c r="J1409" s="4">
        <f t="shared" si="868"/>
        <v>1.3403681229957562E-6</v>
      </c>
      <c r="K1409" s="4">
        <f t="shared" si="868"/>
        <v>1.3403681229957562E-6</v>
      </c>
      <c r="L1409" s="4">
        <f t="shared" si="868"/>
        <v>1.3403681229957562E-6</v>
      </c>
      <c r="M1409" s="4">
        <f t="shared" si="868"/>
        <v>1.3403681229957562E-6</v>
      </c>
      <c r="N1409" t="s">
        <v>256</v>
      </c>
      <c r="O1409" t="s">
        <v>280</v>
      </c>
      <c r="P1409" t="s">
        <v>351</v>
      </c>
      <c r="Q1409" s="4" t="s">
        <v>245</v>
      </c>
    </row>
    <row r="1410" spans="1:17" x14ac:dyDescent="0.25">
      <c r="A1410" t="s">
        <v>565</v>
      </c>
      <c r="B1410" t="s">
        <v>109</v>
      </c>
      <c r="C1410" s="4">
        <f t="shared" ref="C1410:M1410" si="869">(0.178561789731549/(0.0328453630665826+0.350336698877979+0.0822572721273277+0.0181224344560457+0.178561789731549)) * 0.00489718593342445%</f>
        <v>1.3206753845446805E-5</v>
      </c>
      <c r="D1410" s="4">
        <f t="shared" si="869"/>
        <v>1.3206753845446805E-5</v>
      </c>
      <c r="E1410" s="4">
        <f t="shared" si="869"/>
        <v>1.3206753845446805E-5</v>
      </c>
      <c r="F1410" s="4">
        <f t="shared" si="869"/>
        <v>1.3206753845446805E-5</v>
      </c>
      <c r="G1410" s="4">
        <f t="shared" si="869"/>
        <v>1.3206753845446805E-5</v>
      </c>
      <c r="H1410" s="4">
        <f t="shared" si="869"/>
        <v>1.3206753845446805E-5</v>
      </c>
      <c r="I1410" s="4">
        <f t="shared" si="869"/>
        <v>1.3206753845446805E-5</v>
      </c>
      <c r="J1410" s="4">
        <f t="shared" si="869"/>
        <v>1.3206753845446805E-5</v>
      </c>
      <c r="K1410" s="4">
        <f t="shared" si="869"/>
        <v>1.3206753845446805E-5</v>
      </c>
      <c r="L1410" s="4">
        <f t="shared" si="869"/>
        <v>1.3206753845446805E-5</v>
      </c>
      <c r="M1410" s="4">
        <f t="shared" si="869"/>
        <v>1.3206753845446805E-5</v>
      </c>
      <c r="N1410" t="s">
        <v>256</v>
      </c>
      <c r="O1410" t="s">
        <v>354</v>
      </c>
      <c r="P1410" t="s">
        <v>351</v>
      </c>
      <c r="Q1410" s="4" t="s">
        <v>245</v>
      </c>
    </row>
    <row r="1411" spans="1:17" x14ac:dyDescent="0.25">
      <c r="A1411" t="s">
        <v>565</v>
      </c>
      <c r="B1411" t="s">
        <v>135</v>
      </c>
      <c r="C1411" s="4">
        <f t="shared" ref="C1411:M1411" si="870">(0.0328453630665826/(0.0328453630665826+0.350336698877979+0.0822572721273277+0.0181224344560457+0.178561789731549)) * 0.0122791509365174%</f>
        <v>6.0912070810388635E-6</v>
      </c>
      <c r="D1411" s="4">
        <f t="shared" si="870"/>
        <v>6.0912070810388635E-6</v>
      </c>
      <c r="E1411" s="4">
        <f t="shared" si="870"/>
        <v>6.0912070810388635E-6</v>
      </c>
      <c r="F1411" s="4">
        <f t="shared" si="870"/>
        <v>6.0912070810388635E-6</v>
      </c>
      <c r="G1411" s="4">
        <f t="shared" si="870"/>
        <v>6.0912070810388635E-6</v>
      </c>
      <c r="H1411" s="4">
        <f t="shared" si="870"/>
        <v>6.0912070810388635E-6</v>
      </c>
      <c r="I1411" s="4">
        <f t="shared" si="870"/>
        <v>6.0912070810388635E-6</v>
      </c>
      <c r="J1411" s="4">
        <f t="shared" si="870"/>
        <v>6.0912070810388635E-6</v>
      </c>
      <c r="K1411" s="4">
        <f t="shared" si="870"/>
        <v>6.0912070810388635E-6</v>
      </c>
      <c r="L1411" s="4">
        <f t="shared" si="870"/>
        <v>6.0912070810388635E-6</v>
      </c>
      <c r="M1411" s="4">
        <f t="shared" si="870"/>
        <v>6.0912070810388635E-6</v>
      </c>
      <c r="N1411" t="s">
        <v>242</v>
      </c>
      <c r="O1411" t="s">
        <v>358</v>
      </c>
      <c r="P1411" t="s">
        <v>351</v>
      </c>
      <c r="Q1411" s="4" t="s">
        <v>245</v>
      </c>
    </row>
    <row r="1412" spans="1:17" x14ac:dyDescent="0.25">
      <c r="A1412" t="s">
        <v>565</v>
      </c>
      <c r="B1412" t="s">
        <v>135</v>
      </c>
      <c r="C1412" s="4">
        <f t="shared" ref="C1412:M1412" si="871">(0.350336698877979/(0.0328453630665826+0.350336698877979+0.0822572721273277+0.0181224344560457+0.178561789731549)) * 0.0122791509365174%</f>
        <v>6.4970308796021939E-5</v>
      </c>
      <c r="D1412" s="4">
        <f t="shared" si="871"/>
        <v>6.4970308796021939E-5</v>
      </c>
      <c r="E1412" s="4">
        <f t="shared" si="871"/>
        <v>6.4970308796021939E-5</v>
      </c>
      <c r="F1412" s="4">
        <f t="shared" si="871"/>
        <v>6.4970308796021939E-5</v>
      </c>
      <c r="G1412" s="4">
        <f t="shared" si="871"/>
        <v>6.4970308796021939E-5</v>
      </c>
      <c r="H1412" s="4">
        <f t="shared" si="871"/>
        <v>6.4970308796021939E-5</v>
      </c>
      <c r="I1412" s="4">
        <f t="shared" si="871"/>
        <v>6.4970308796021939E-5</v>
      </c>
      <c r="J1412" s="4">
        <f t="shared" si="871"/>
        <v>6.4970308796021939E-5</v>
      </c>
      <c r="K1412" s="4">
        <f t="shared" si="871"/>
        <v>6.4970308796021939E-5</v>
      </c>
      <c r="L1412" s="4">
        <f t="shared" si="871"/>
        <v>6.4970308796021939E-5</v>
      </c>
      <c r="M1412" s="4">
        <f t="shared" si="871"/>
        <v>6.4970308796021939E-5</v>
      </c>
      <c r="N1412" t="s">
        <v>256</v>
      </c>
      <c r="O1412" t="s">
        <v>356</v>
      </c>
      <c r="P1412" t="s">
        <v>351</v>
      </c>
      <c r="Q1412" s="4" t="s">
        <v>245</v>
      </c>
    </row>
    <row r="1413" spans="1:17" x14ac:dyDescent="0.25">
      <c r="A1413" t="s">
        <v>565</v>
      </c>
      <c r="B1413" t="s">
        <v>135</v>
      </c>
      <c r="C1413" s="4">
        <f t="shared" ref="C1413:M1413" si="872">(0.0822572721273277/(0.0328453630665826+0.350336698877979+0.0822572721273277+0.0181224344560457+0.178561789731549)) * 0.0122791509365174%</f>
        <v>1.5254697517979074E-5</v>
      </c>
      <c r="D1413" s="4">
        <f t="shared" si="872"/>
        <v>1.5254697517979074E-5</v>
      </c>
      <c r="E1413" s="4">
        <f t="shared" si="872"/>
        <v>1.5254697517979074E-5</v>
      </c>
      <c r="F1413" s="4">
        <f t="shared" si="872"/>
        <v>1.5254697517979074E-5</v>
      </c>
      <c r="G1413" s="4">
        <f t="shared" si="872"/>
        <v>1.5254697517979074E-5</v>
      </c>
      <c r="H1413" s="4">
        <f t="shared" si="872"/>
        <v>1.5254697517979074E-5</v>
      </c>
      <c r="I1413" s="4">
        <f t="shared" si="872"/>
        <v>1.5254697517979074E-5</v>
      </c>
      <c r="J1413" s="4">
        <f t="shared" si="872"/>
        <v>1.5254697517979074E-5</v>
      </c>
      <c r="K1413" s="4">
        <f t="shared" si="872"/>
        <v>1.5254697517979074E-5</v>
      </c>
      <c r="L1413" s="4">
        <f t="shared" si="872"/>
        <v>1.5254697517979074E-5</v>
      </c>
      <c r="M1413" s="4">
        <f t="shared" si="872"/>
        <v>1.5254697517979074E-5</v>
      </c>
      <c r="N1413" t="s">
        <v>256</v>
      </c>
      <c r="O1413" t="s">
        <v>353</v>
      </c>
      <c r="P1413" t="s">
        <v>351</v>
      </c>
      <c r="Q1413" s="4" t="s">
        <v>245</v>
      </c>
    </row>
    <row r="1414" spans="1:17" x14ac:dyDescent="0.25">
      <c r="A1414" t="s">
        <v>565</v>
      </c>
      <c r="B1414" t="s">
        <v>135</v>
      </c>
      <c r="C1414" s="4">
        <f t="shared" ref="C1414:M1414" si="873">(0.0181224344560457/(0.0328453630665826+0.350336698877979+0.0822572721273277+0.0181224344560457+0.178561789731549)) * 0.0122791509365174%</f>
        <v>3.3608245054425433E-6</v>
      </c>
      <c r="D1414" s="4">
        <f t="shared" si="873"/>
        <v>3.3608245054425433E-6</v>
      </c>
      <c r="E1414" s="4">
        <f t="shared" si="873"/>
        <v>3.3608245054425433E-6</v>
      </c>
      <c r="F1414" s="4">
        <f t="shared" si="873"/>
        <v>3.3608245054425433E-6</v>
      </c>
      <c r="G1414" s="4">
        <f t="shared" si="873"/>
        <v>3.3608245054425433E-6</v>
      </c>
      <c r="H1414" s="4">
        <f t="shared" si="873"/>
        <v>3.3608245054425433E-6</v>
      </c>
      <c r="I1414" s="4">
        <f t="shared" si="873"/>
        <v>3.3608245054425433E-6</v>
      </c>
      <c r="J1414" s="4">
        <f t="shared" si="873"/>
        <v>3.3608245054425433E-6</v>
      </c>
      <c r="K1414" s="4">
        <f t="shared" si="873"/>
        <v>3.3608245054425433E-6</v>
      </c>
      <c r="L1414" s="4">
        <f t="shared" si="873"/>
        <v>3.3608245054425433E-6</v>
      </c>
      <c r="M1414" s="4">
        <f t="shared" si="873"/>
        <v>3.3608245054425433E-6</v>
      </c>
      <c r="N1414" t="s">
        <v>256</v>
      </c>
      <c r="O1414" t="s">
        <v>280</v>
      </c>
      <c r="P1414" t="s">
        <v>351</v>
      </c>
      <c r="Q1414" s="4" t="s">
        <v>245</v>
      </c>
    </row>
    <row r="1415" spans="1:17" x14ac:dyDescent="0.25">
      <c r="A1415" t="s">
        <v>565</v>
      </c>
      <c r="B1415" t="s">
        <v>135</v>
      </c>
      <c r="C1415" s="4">
        <f t="shared" ref="C1415:M1415" si="874">(0.178561789731549/(0.0328453630665826+0.350336698877979+0.0822572721273277+0.0181224344560457+0.178561789731549)) * 0.0122791509365174%</f>
        <v>3.3114471464691569E-5</v>
      </c>
      <c r="D1415" s="4">
        <f t="shared" si="874"/>
        <v>3.3114471464691569E-5</v>
      </c>
      <c r="E1415" s="4">
        <f t="shared" si="874"/>
        <v>3.3114471464691569E-5</v>
      </c>
      <c r="F1415" s="4">
        <f t="shared" si="874"/>
        <v>3.3114471464691569E-5</v>
      </c>
      <c r="G1415" s="4">
        <f t="shared" si="874"/>
        <v>3.3114471464691569E-5</v>
      </c>
      <c r="H1415" s="4">
        <f t="shared" si="874"/>
        <v>3.3114471464691569E-5</v>
      </c>
      <c r="I1415" s="4">
        <f t="shared" si="874"/>
        <v>3.3114471464691569E-5</v>
      </c>
      <c r="J1415" s="4">
        <f t="shared" si="874"/>
        <v>3.3114471464691569E-5</v>
      </c>
      <c r="K1415" s="4">
        <f t="shared" si="874"/>
        <v>3.3114471464691569E-5</v>
      </c>
      <c r="L1415" s="4">
        <f t="shared" si="874"/>
        <v>3.3114471464691569E-5</v>
      </c>
      <c r="M1415" s="4">
        <f t="shared" si="874"/>
        <v>3.3114471464691569E-5</v>
      </c>
      <c r="N1415" t="s">
        <v>256</v>
      </c>
      <c r="O1415" t="s">
        <v>354</v>
      </c>
      <c r="P1415" t="s">
        <v>351</v>
      </c>
      <c r="Q1415" s="4" t="s">
        <v>245</v>
      </c>
    </row>
    <row r="1416" spans="1:17" x14ac:dyDescent="0.25">
      <c r="A1416" t="s">
        <v>565</v>
      </c>
      <c r="B1416" t="s">
        <v>137</v>
      </c>
      <c r="C1416" s="4">
        <f t="shared" ref="C1416:M1416" si="875">3.37720677179493%*(0.0914092651381309/(0.0914092651381309+0.00171239274195283))</f>
        <v>3.3151040934733873E-2</v>
      </c>
      <c r="D1416" s="4">
        <f t="shared" si="875"/>
        <v>3.3151040934733873E-2</v>
      </c>
      <c r="E1416" s="4">
        <f t="shared" si="875"/>
        <v>3.3151040934733873E-2</v>
      </c>
      <c r="F1416" s="4">
        <f t="shared" si="875"/>
        <v>3.3151040934733873E-2</v>
      </c>
      <c r="G1416" s="4">
        <f t="shared" si="875"/>
        <v>3.3151040934733873E-2</v>
      </c>
      <c r="H1416" s="4">
        <f t="shared" si="875"/>
        <v>3.3151040934733873E-2</v>
      </c>
      <c r="I1416" s="4">
        <f t="shared" si="875"/>
        <v>3.3151040934733873E-2</v>
      </c>
      <c r="J1416" s="4">
        <f t="shared" si="875"/>
        <v>3.3151040934733873E-2</v>
      </c>
      <c r="K1416" s="4">
        <f t="shared" si="875"/>
        <v>3.3151040934733873E-2</v>
      </c>
      <c r="L1416" s="4">
        <f t="shared" si="875"/>
        <v>3.3151040934733873E-2</v>
      </c>
      <c r="M1416" s="4">
        <f t="shared" si="875"/>
        <v>3.3151040934733873E-2</v>
      </c>
      <c r="N1416" t="s">
        <v>320</v>
      </c>
      <c r="O1416" t="s">
        <v>356</v>
      </c>
      <c r="P1416" t="s">
        <v>351</v>
      </c>
      <c r="Q1416" s="4" t="s">
        <v>245</v>
      </c>
    </row>
    <row r="1417" spans="1:17" x14ac:dyDescent="0.25">
      <c r="A1417" t="s">
        <v>565</v>
      </c>
      <c r="B1417" t="s">
        <v>137</v>
      </c>
      <c r="C1417" s="4">
        <f t="shared" ref="C1417:M1417" si="876">3.37720677179493%*(0.00171239274195283/(0.0914092651381309+0.00171239274195283))</f>
        <v>6.2102678321542632E-4</v>
      </c>
      <c r="D1417" s="4">
        <f t="shared" si="876"/>
        <v>6.2102678321542632E-4</v>
      </c>
      <c r="E1417" s="4">
        <f t="shared" si="876"/>
        <v>6.2102678321542632E-4</v>
      </c>
      <c r="F1417" s="4">
        <f t="shared" si="876"/>
        <v>6.2102678321542632E-4</v>
      </c>
      <c r="G1417" s="4">
        <f t="shared" si="876"/>
        <v>6.2102678321542632E-4</v>
      </c>
      <c r="H1417" s="4">
        <f t="shared" si="876"/>
        <v>6.2102678321542632E-4</v>
      </c>
      <c r="I1417" s="4">
        <f t="shared" si="876"/>
        <v>6.2102678321542632E-4</v>
      </c>
      <c r="J1417" s="4">
        <f t="shared" si="876"/>
        <v>6.2102678321542632E-4</v>
      </c>
      <c r="K1417" s="4">
        <f t="shared" si="876"/>
        <v>6.2102678321542632E-4</v>
      </c>
      <c r="L1417" s="4">
        <f t="shared" si="876"/>
        <v>6.2102678321542632E-4</v>
      </c>
      <c r="M1417" s="4">
        <f t="shared" si="876"/>
        <v>6.2102678321542632E-4</v>
      </c>
      <c r="N1417" t="s">
        <v>320</v>
      </c>
      <c r="O1417" t="s">
        <v>337</v>
      </c>
      <c r="P1417" t="s">
        <v>351</v>
      </c>
      <c r="Q1417" s="4" t="s">
        <v>245</v>
      </c>
    </row>
    <row r="1418" spans="1:17" x14ac:dyDescent="0.25">
      <c r="A1418" t="s">
        <v>565</v>
      </c>
      <c r="B1418" t="s">
        <v>206</v>
      </c>
      <c r="C1418" s="4">
        <f t="shared" ref="C1418:M1418" si="877">(0.0328453630665826/(0.0328453630665826+0.350336698877979+0.0822572721273277+0.0181224344560457+0.178561789731549)) * 0.00603101715938971%</f>
        <v>2.9917520044395329E-6</v>
      </c>
      <c r="D1418" s="4">
        <f t="shared" si="877"/>
        <v>2.9917520044395329E-6</v>
      </c>
      <c r="E1418" s="4">
        <f t="shared" si="877"/>
        <v>2.9917520044395329E-6</v>
      </c>
      <c r="F1418" s="4">
        <f t="shared" si="877"/>
        <v>2.9917520044395329E-6</v>
      </c>
      <c r="G1418" s="4">
        <f t="shared" si="877"/>
        <v>2.9917520044395329E-6</v>
      </c>
      <c r="H1418" s="4">
        <f t="shared" si="877"/>
        <v>2.9917520044395329E-6</v>
      </c>
      <c r="I1418" s="4">
        <f t="shared" si="877"/>
        <v>2.9917520044395329E-6</v>
      </c>
      <c r="J1418" s="4">
        <f t="shared" si="877"/>
        <v>2.9917520044395329E-6</v>
      </c>
      <c r="K1418" s="4">
        <f t="shared" si="877"/>
        <v>2.9917520044395329E-6</v>
      </c>
      <c r="L1418" s="4">
        <f t="shared" si="877"/>
        <v>2.9917520044395329E-6</v>
      </c>
      <c r="M1418" s="4">
        <f t="shared" si="877"/>
        <v>2.9917520044395329E-6</v>
      </c>
      <c r="N1418" t="s">
        <v>242</v>
      </c>
      <c r="O1418" t="s">
        <v>358</v>
      </c>
      <c r="P1418" t="s">
        <v>351</v>
      </c>
      <c r="Q1418" s="4" t="s">
        <v>245</v>
      </c>
    </row>
    <row r="1419" spans="1:17" x14ac:dyDescent="0.25">
      <c r="A1419" t="s">
        <v>565</v>
      </c>
      <c r="B1419" t="s">
        <v>206</v>
      </c>
      <c r="C1419" s="4">
        <f t="shared" ref="C1419:M1419" si="878">(0.350336698877979/(0.0328453630665826+0.350336698877979+0.0822572721273277+0.0181224344560457+0.178561789731549)) * 0.00603101715938971%</f>
        <v>3.1910760705315428E-5</v>
      </c>
      <c r="D1419" s="4">
        <f t="shared" si="878"/>
        <v>3.1910760705315428E-5</v>
      </c>
      <c r="E1419" s="4">
        <f t="shared" si="878"/>
        <v>3.1910760705315428E-5</v>
      </c>
      <c r="F1419" s="4">
        <f t="shared" si="878"/>
        <v>3.1910760705315428E-5</v>
      </c>
      <c r="G1419" s="4">
        <f t="shared" si="878"/>
        <v>3.1910760705315428E-5</v>
      </c>
      <c r="H1419" s="4">
        <f t="shared" si="878"/>
        <v>3.1910760705315428E-5</v>
      </c>
      <c r="I1419" s="4">
        <f t="shared" si="878"/>
        <v>3.1910760705315428E-5</v>
      </c>
      <c r="J1419" s="4">
        <f t="shared" si="878"/>
        <v>3.1910760705315428E-5</v>
      </c>
      <c r="K1419" s="4">
        <f t="shared" si="878"/>
        <v>3.1910760705315428E-5</v>
      </c>
      <c r="L1419" s="4">
        <f t="shared" si="878"/>
        <v>3.1910760705315428E-5</v>
      </c>
      <c r="M1419" s="4">
        <f t="shared" si="878"/>
        <v>3.1910760705315428E-5</v>
      </c>
      <c r="N1419" t="s">
        <v>256</v>
      </c>
      <c r="O1419" t="s">
        <v>356</v>
      </c>
      <c r="P1419" t="s">
        <v>351</v>
      </c>
      <c r="Q1419" s="4" t="s">
        <v>245</v>
      </c>
    </row>
    <row r="1420" spans="1:17" x14ac:dyDescent="0.25">
      <c r="A1420" t="s">
        <v>565</v>
      </c>
      <c r="B1420" t="s">
        <v>206</v>
      </c>
      <c r="C1420" s="4">
        <f t="shared" ref="C1420:M1420" si="879">(0.0822572721273277/(0.0328453630665826+0.350336698877979+0.0822572721273277+0.0181224344560457+0.178561789731549)) * 0.00603101715938971%</f>
        <v>7.4924840461587126E-6</v>
      </c>
      <c r="D1420" s="4">
        <f t="shared" si="879"/>
        <v>7.4924840461587126E-6</v>
      </c>
      <c r="E1420" s="4">
        <f t="shared" si="879"/>
        <v>7.4924840461587126E-6</v>
      </c>
      <c r="F1420" s="4">
        <f t="shared" si="879"/>
        <v>7.4924840461587126E-6</v>
      </c>
      <c r="G1420" s="4">
        <f t="shared" si="879"/>
        <v>7.4924840461587126E-6</v>
      </c>
      <c r="H1420" s="4">
        <f t="shared" si="879"/>
        <v>7.4924840461587126E-6</v>
      </c>
      <c r="I1420" s="4">
        <f t="shared" si="879"/>
        <v>7.4924840461587126E-6</v>
      </c>
      <c r="J1420" s="4">
        <f t="shared" si="879"/>
        <v>7.4924840461587126E-6</v>
      </c>
      <c r="K1420" s="4">
        <f t="shared" si="879"/>
        <v>7.4924840461587126E-6</v>
      </c>
      <c r="L1420" s="4">
        <f t="shared" si="879"/>
        <v>7.4924840461587126E-6</v>
      </c>
      <c r="M1420" s="4">
        <f t="shared" si="879"/>
        <v>7.4924840461587126E-6</v>
      </c>
      <c r="N1420" t="s">
        <v>256</v>
      </c>
      <c r="O1420" t="s">
        <v>353</v>
      </c>
      <c r="P1420" t="s">
        <v>351</v>
      </c>
      <c r="Q1420" s="4" t="s">
        <v>245</v>
      </c>
    </row>
    <row r="1421" spans="1:17" x14ac:dyDescent="0.25">
      <c r="A1421" t="s">
        <v>565</v>
      </c>
      <c r="B1421" t="s">
        <v>206</v>
      </c>
      <c r="C1421" s="4">
        <f t="shared" ref="C1421:M1421" si="880">(0.0181224344560457/(0.0328453630665826+0.350336698877979+0.0822572721273277+0.0181224344560457+0.178561789731549)) * 0.00603101715938971%</f>
        <v>1.650699658861767E-6</v>
      </c>
      <c r="D1421" s="4">
        <f t="shared" si="880"/>
        <v>1.650699658861767E-6</v>
      </c>
      <c r="E1421" s="4">
        <f t="shared" si="880"/>
        <v>1.650699658861767E-6</v>
      </c>
      <c r="F1421" s="4">
        <f t="shared" si="880"/>
        <v>1.650699658861767E-6</v>
      </c>
      <c r="G1421" s="4">
        <f t="shared" si="880"/>
        <v>1.650699658861767E-6</v>
      </c>
      <c r="H1421" s="4">
        <f t="shared" si="880"/>
        <v>1.650699658861767E-6</v>
      </c>
      <c r="I1421" s="4">
        <f t="shared" si="880"/>
        <v>1.650699658861767E-6</v>
      </c>
      <c r="J1421" s="4">
        <f t="shared" si="880"/>
        <v>1.650699658861767E-6</v>
      </c>
      <c r="K1421" s="4">
        <f t="shared" si="880"/>
        <v>1.650699658861767E-6</v>
      </c>
      <c r="L1421" s="4">
        <f t="shared" si="880"/>
        <v>1.650699658861767E-6</v>
      </c>
      <c r="M1421" s="4">
        <f t="shared" si="880"/>
        <v>1.650699658861767E-6</v>
      </c>
      <c r="N1421" t="s">
        <v>256</v>
      </c>
      <c r="O1421" t="s">
        <v>280</v>
      </c>
      <c r="P1421" t="s">
        <v>351</v>
      </c>
      <c r="Q1421" s="4" t="s">
        <v>245</v>
      </c>
    </row>
    <row r="1422" spans="1:17" x14ac:dyDescent="0.25">
      <c r="A1422" t="s">
        <v>565</v>
      </c>
      <c r="B1422" t="s">
        <v>206</v>
      </c>
      <c r="C1422" s="4">
        <f t="shared" ref="C1422:M1422" si="881">(0.178561789731549/(0.0328453630665826+0.350336698877979+0.0822572721273277+0.0181224344560457+0.178561789731549)) * 0.00603101715938971%</f>
        <v>1.6264475179121662E-5</v>
      </c>
      <c r="D1422" s="4">
        <f t="shared" si="881"/>
        <v>1.6264475179121662E-5</v>
      </c>
      <c r="E1422" s="4">
        <f t="shared" si="881"/>
        <v>1.6264475179121662E-5</v>
      </c>
      <c r="F1422" s="4">
        <f t="shared" si="881"/>
        <v>1.6264475179121662E-5</v>
      </c>
      <c r="G1422" s="4">
        <f t="shared" si="881"/>
        <v>1.6264475179121662E-5</v>
      </c>
      <c r="H1422" s="4">
        <f t="shared" si="881"/>
        <v>1.6264475179121662E-5</v>
      </c>
      <c r="I1422" s="4">
        <f t="shared" si="881"/>
        <v>1.6264475179121662E-5</v>
      </c>
      <c r="J1422" s="4">
        <f t="shared" si="881"/>
        <v>1.6264475179121662E-5</v>
      </c>
      <c r="K1422" s="4">
        <f t="shared" si="881"/>
        <v>1.6264475179121662E-5</v>
      </c>
      <c r="L1422" s="4">
        <f t="shared" si="881"/>
        <v>1.6264475179121662E-5</v>
      </c>
      <c r="M1422" s="4">
        <f t="shared" si="881"/>
        <v>1.6264475179121662E-5</v>
      </c>
      <c r="N1422" t="s">
        <v>256</v>
      </c>
      <c r="O1422" t="s">
        <v>354</v>
      </c>
      <c r="P1422" t="s">
        <v>351</v>
      </c>
      <c r="Q1422" s="4" t="s">
        <v>245</v>
      </c>
    </row>
    <row r="1423" spans="1:17" x14ac:dyDescent="0.25">
      <c r="A1423" t="s">
        <v>565</v>
      </c>
      <c r="B1423" t="s">
        <v>121</v>
      </c>
      <c r="C1423" s="4">
        <f t="shared" ref="C1423:M1423" si="882">(0.0328453630665826/(0.0328453630665826+0.350336698877979+0.0822572721273277+0.0181224344560457+0.178561789731549)) * 0.0513299870435658%</f>
        <v>2.5462801309784851E-5</v>
      </c>
      <c r="D1423" s="4">
        <f t="shared" si="882"/>
        <v>2.5462801309784851E-5</v>
      </c>
      <c r="E1423" s="4">
        <f t="shared" si="882"/>
        <v>2.5462801309784851E-5</v>
      </c>
      <c r="F1423" s="4">
        <f t="shared" si="882"/>
        <v>2.5462801309784851E-5</v>
      </c>
      <c r="G1423" s="4">
        <f t="shared" si="882"/>
        <v>2.5462801309784851E-5</v>
      </c>
      <c r="H1423" s="4">
        <f t="shared" si="882"/>
        <v>2.5462801309784851E-5</v>
      </c>
      <c r="I1423" s="4">
        <f t="shared" si="882"/>
        <v>2.5462801309784851E-5</v>
      </c>
      <c r="J1423" s="4">
        <f t="shared" si="882"/>
        <v>2.5462801309784851E-5</v>
      </c>
      <c r="K1423" s="4">
        <f t="shared" si="882"/>
        <v>2.5462801309784851E-5</v>
      </c>
      <c r="L1423" s="4">
        <f t="shared" si="882"/>
        <v>2.5462801309784851E-5</v>
      </c>
      <c r="M1423" s="4">
        <f t="shared" si="882"/>
        <v>2.5462801309784851E-5</v>
      </c>
      <c r="N1423" t="s">
        <v>242</v>
      </c>
      <c r="O1423" t="s">
        <v>358</v>
      </c>
      <c r="P1423" t="s">
        <v>351</v>
      </c>
      <c r="Q1423" s="4" t="s">
        <v>245</v>
      </c>
    </row>
    <row r="1424" spans="1:17" x14ac:dyDescent="0.25">
      <c r="A1424" t="s">
        <v>565</v>
      </c>
      <c r="B1424" t="s">
        <v>121</v>
      </c>
      <c r="C1424" s="4">
        <f t="shared" ref="C1424:M1424" si="883">(0.350336698877979/(0.0328453630665826+0.350336698877979+0.0822572721273277+0.0181224344560457+0.178561789731549)) * 0.0513299870435658%</f>
        <v>2.7159248436293948E-4</v>
      </c>
      <c r="D1424" s="4">
        <f t="shared" si="883"/>
        <v>2.7159248436293948E-4</v>
      </c>
      <c r="E1424" s="4">
        <f t="shared" si="883"/>
        <v>2.7159248436293948E-4</v>
      </c>
      <c r="F1424" s="4">
        <f t="shared" si="883"/>
        <v>2.7159248436293948E-4</v>
      </c>
      <c r="G1424" s="4">
        <f t="shared" si="883"/>
        <v>2.7159248436293948E-4</v>
      </c>
      <c r="H1424" s="4">
        <f t="shared" si="883"/>
        <v>2.7159248436293948E-4</v>
      </c>
      <c r="I1424" s="4">
        <f t="shared" si="883"/>
        <v>2.7159248436293948E-4</v>
      </c>
      <c r="J1424" s="4">
        <f t="shared" si="883"/>
        <v>2.7159248436293948E-4</v>
      </c>
      <c r="K1424" s="4">
        <f t="shared" si="883"/>
        <v>2.7159248436293948E-4</v>
      </c>
      <c r="L1424" s="4">
        <f t="shared" si="883"/>
        <v>2.7159248436293948E-4</v>
      </c>
      <c r="M1424" s="4">
        <f t="shared" si="883"/>
        <v>2.7159248436293948E-4</v>
      </c>
      <c r="N1424" t="s">
        <v>256</v>
      </c>
      <c r="O1424" t="s">
        <v>356</v>
      </c>
      <c r="P1424" t="s">
        <v>351</v>
      </c>
      <c r="Q1424" s="4" t="s">
        <v>245</v>
      </c>
    </row>
    <row r="1425" spans="1:17" x14ac:dyDescent="0.25">
      <c r="A1425" t="s">
        <v>565</v>
      </c>
      <c r="B1425" t="s">
        <v>121</v>
      </c>
      <c r="C1425" s="4">
        <f t="shared" ref="C1425:M1425" si="884">(0.0822572721273277/(0.0328453630665826+0.350336698877979+0.0822572721273277+0.0181224344560457+0.178561789731549)) * 0.0513299870435658%</f>
        <v>6.3768531716856759E-5</v>
      </c>
      <c r="D1425" s="4">
        <f t="shared" si="884"/>
        <v>6.3768531716856759E-5</v>
      </c>
      <c r="E1425" s="4">
        <f t="shared" si="884"/>
        <v>6.3768531716856759E-5</v>
      </c>
      <c r="F1425" s="4">
        <f t="shared" si="884"/>
        <v>6.3768531716856759E-5</v>
      </c>
      <c r="G1425" s="4">
        <f t="shared" si="884"/>
        <v>6.3768531716856759E-5</v>
      </c>
      <c r="H1425" s="4">
        <f t="shared" si="884"/>
        <v>6.3768531716856759E-5</v>
      </c>
      <c r="I1425" s="4">
        <f t="shared" si="884"/>
        <v>6.3768531716856759E-5</v>
      </c>
      <c r="J1425" s="4">
        <f t="shared" si="884"/>
        <v>6.3768531716856759E-5</v>
      </c>
      <c r="K1425" s="4">
        <f t="shared" si="884"/>
        <v>6.3768531716856759E-5</v>
      </c>
      <c r="L1425" s="4">
        <f t="shared" si="884"/>
        <v>6.3768531716856759E-5</v>
      </c>
      <c r="M1425" s="4">
        <f t="shared" si="884"/>
        <v>6.3768531716856759E-5</v>
      </c>
      <c r="N1425" t="s">
        <v>256</v>
      </c>
      <c r="O1425" t="s">
        <v>353</v>
      </c>
      <c r="P1425" t="s">
        <v>351</v>
      </c>
      <c r="Q1425" s="4" t="s">
        <v>245</v>
      </c>
    </row>
    <row r="1426" spans="1:17" x14ac:dyDescent="0.25">
      <c r="A1426" t="s">
        <v>565</v>
      </c>
      <c r="B1426" t="s">
        <v>121</v>
      </c>
      <c r="C1426" s="4">
        <f t="shared" ref="C1426:M1426" si="885">(0.0181224344560457/(0.0328453630665826+0.350336698877979+0.0822572721273277+0.0181224344560457+0.178561789731549)) * 0.0513299870435658%</f>
        <v>1.4049104796572491E-5</v>
      </c>
      <c r="D1426" s="4">
        <f t="shared" si="885"/>
        <v>1.4049104796572491E-5</v>
      </c>
      <c r="E1426" s="4">
        <f t="shared" si="885"/>
        <v>1.4049104796572491E-5</v>
      </c>
      <c r="F1426" s="4">
        <f t="shared" si="885"/>
        <v>1.4049104796572491E-5</v>
      </c>
      <c r="G1426" s="4">
        <f t="shared" si="885"/>
        <v>1.4049104796572491E-5</v>
      </c>
      <c r="H1426" s="4">
        <f t="shared" si="885"/>
        <v>1.4049104796572491E-5</v>
      </c>
      <c r="I1426" s="4">
        <f t="shared" si="885"/>
        <v>1.4049104796572491E-5</v>
      </c>
      <c r="J1426" s="4">
        <f t="shared" si="885"/>
        <v>1.4049104796572491E-5</v>
      </c>
      <c r="K1426" s="4">
        <f t="shared" si="885"/>
        <v>1.4049104796572491E-5</v>
      </c>
      <c r="L1426" s="4">
        <f t="shared" si="885"/>
        <v>1.4049104796572491E-5</v>
      </c>
      <c r="M1426" s="4">
        <f t="shared" si="885"/>
        <v>1.4049104796572491E-5</v>
      </c>
      <c r="N1426" t="s">
        <v>256</v>
      </c>
      <c r="O1426" t="s">
        <v>280</v>
      </c>
      <c r="P1426" t="s">
        <v>351</v>
      </c>
      <c r="Q1426" s="4" t="s">
        <v>245</v>
      </c>
    </row>
    <row r="1427" spans="1:17" x14ac:dyDescent="0.25">
      <c r="A1427" t="s">
        <v>565</v>
      </c>
      <c r="B1427" t="s">
        <v>121</v>
      </c>
      <c r="C1427" s="4">
        <f t="shared" ref="C1427:M1427" si="886">(0.178561789731549/(0.0328453630665826+0.350336698877979+0.0822572721273277+0.0181224344560457+0.178561789731549)) * 0.0513299870435658%</f>
        <v>1.384269482495044E-4</v>
      </c>
      <c r="D1427" s="4">
        <f t="shared" si="886"/>
        <v>1.384269482495044E-4</v>
      </c>
      <c r="E1427" s="4">
        <f t="shared" si="886"/>
        <v>1.384269482495044E-4</v>
      </c>
      <c r="F1427" s="4">
        <f t="shared" si="886"/>
        <v>1.384269482495044E-4</v>
      </c>
      <c r="G1427" s="4">
        <f t="shared" si="886"/>
        <v>1.384269482495044E-4</v>
      </c>
      <c r="H1427" s="4">
        <f t="shared" si="886"/>
        <v>1.384269482495044E-4</v>
      </c>
      <c r="I1427" s="4">
        <f t="shared" si="886"/>
        <v>1.384269482495044E-4</v>
      </c>
      <c r="J1427" s="4">
        <f t="shared" si="886"/>
        <v>1.384269482495044E-4</v>
      </c>
      <c r="K1427" s="4">
        <f t="shared" si="886"/>
        <v>1.384269482495044E-4</v>
      </c>
      <c r="L1427" s="4">
        <f t="shared" si="886"/>
        <v>1.384269482495044E-4</v>
      </c>
      <c r="M1427" s="4">
        <f t="shared" si="886"/>
        <v>1.384269482495044E-4</v>
      </c>
      <c r="N1427" t="s">
        <v>256</v>
      </c>
      <c r="O1427" t="s">
        <v>354</v>
      </c>
      <c r="P1427" t="s">
        <v>351</v>
      </c>
      <c r="Q1427" s="4" t="s">
        <v>245</v>
      </c>
    </row>
    <row r="1428" spans="1:17" x14ac:dyDescent="0.25">
      <c r="A1428" t="s">
        <v>565</v>
      </c>
      <c r="B1428" t="s">
        <v>157</v>
      </c>
      <c r="C1428" s="4">
        <f t="shared" ref="C1428:M1428" si="887">(0.0328453630665826/(0.0328453630665826+0.350336698877979+0.0822572721273277+0.0181224344560457+0.178561789731549)) * 2.06079856336346%</f>
        <v>1.0222816599169864E-3</v>
      </c>
      <c r="D1428" s="4">
        <f t="shared" si="887"/>
        <v>1.0222816599169864E-3</v>
      </c>
      <c r="E1428" s="4">
        <f t="shared" si="887"/>
        <v>1.0222816599169864E-3</v>
      </c>
      <c r="F1428" s="4">
        <f t="shared" si="887"/>
        <v>1.0222816599169864E-3</v>
      </c>
      <c r="G1428" s="4">
        <f t="shared" si="887"/>
        <v>1.0222816599169864E-3</v>
      </c>
      <c r="H1428" s="4">
        <f t="shared" si="887"/>
        <v>1.0222816599169864E-3</v>
      </c>
      <c r="I1428" s="4">
        <f t="shared" si="887"/>
        <v>1.0222816599169864E-3</v>
      </c>
      <c r="J1428" s="4">
        <f t="shared" si="887"/>
        <v>1.0222816599169864E-3</v>
      </c>
      <c r="K1428" s="4">
        <f t="shared" si="887"/>
        <v>1.0222816599169864E-3</v>
      </c>
      <c r="L1428" s="4">
        <f t="shared" si="887"/>
        <v>1.0222816599169864E-3</v>
      </c>
      <c r="M1428" s="4">
        <f t="shared" si="887"/>
        <v>1.0222816599169864E-3</v>
      </c>
      <c r="N1428" t="s">
        <v>242</v>
      </c>
      <c r="O1428" t="s">
        <v>358</v>
      </c>
      <c r="P1428" t="s">
        <v>351</v>
      </c>
      <c r="Q1428" s="4" t="s">
        <v>245</v>
      </c>
    </row>
    <row r="1429" spans="1:17" x14ac:dyDescent="0.25">
      <c r="A1429" t="s">
        <v>565</v>
      </c>
      <c r="B1429" t="s">
        <v>157</v>
      </c>
      <c r="C1429" s="4">
        <f t="shared" ref="C1429:M1429" si="888">(0.350336698877979/(0.0328453630665826+0.350336698877979+0.0822572721273277+0.0181224344560457+0.178561789731549)) * 2.06079856336346%</f>
        <v>1.090390693300626E-2</v>
      </c>
      <c r="D1429" s="4">
        <f t="shared" si="888"/>
        <v>1.090390693300626E-2</v>
      </c>
      <c r="E1429" s="4">
        <f t="shared" si="888"/>
        <v>1.090390693300626E-2</v>
      </c>
      <c r="F1429" s="4">
        <f t="shared" si="888"/>
        <v>1.090390693300626E-2</v>
      </c>
      <c r="G1429" s="4">
        <f t="shared" si="888"/>
        <v>1.090390693300626E-2</v>
      </c>
      <c r="H1429" s="4">
        <f t="shared" si="888"/>
        <v>1.090390693300626E-2</v>
      </c>
      <c r="I1429" s="4">
        <f t="shared" si="888"/>
        <v>1.090390693300626E-2</v>
      </c>
      <c r="J1429" s="4">
        <f t="shared" si="888"/>
        <v>1.090390693300626E-2</v>
      </c>
      <c r="K1429" s="4">
        <f t="shared" si="888"/>
        <v>1.090390693300626E-2</v>
      </c>
      <c r="L1429" s="4">
        <f t="shared" si="888"/>
        <v>1.090390693300626E-2</v>
      </c>
      <c r="M1429" s="4">
        <f t="shared" si="888"/>
        <v>1.090390693300626E-2</v>
      </c>
      <c r="N1429" t="s">
        <v>256</v>
      </c>
      <c r="O1429" t="s">
        <v>356</v>
      </c>
      <c r="P1429" t="s">
        <v>351</v>
      </c>
      <c r="Q1429" s="4" t="s">
        <v>245</v>
      </c>
    </row>
    <row r="1430" spans="1:17" x14ac:dyDescent="0.25">
      <c r="A1430" t="s">
        <v>565</v>
      </c>
      <c r="B1430" t="s">
        <v>157</v>
      </c>
      <c r="C1430" s="4">
        <f t="shared" ref="C1430:M1430" si="889">(0.0822572721273277/(0.0328453630665826+0.350336698877979+0.0822572721273277+0.0181224344560457+0.178561789731549)) * 2.06079856336346%</f>
        <v>2.5601817985724269E-3</v>
      </c>
      <c r="D1430" s="4">
        <f t="shared" si="889"/>
        <v>2.5601817985724269E-3</v>
      </c>
      <c r="E1430" s="4">
        <f t="shared" si="889"/>
        <v>2.5601817985724269E-3</v>
      </c>
      <c r="F1430" s="4">
        <f t="shared" si="889"/>
        <v>2.5601817985724269E-3</v>
      </c>
      <c r="G1430" s="4">
        <f t="shared" si="889"/>
        <v>2.5601817985724269E-3</v>
      </c>
      <c r="H1430" s="4">
        <f t="shared" si="889"/>
        <v>2.5601817985724269E-3</v>
      </c>
      <c r="I1430" s="4">
        <f t="shared" si="889"/>
        <v>2.5601817985724269E-3</v>
      </c>
      <c r="J1430" s="4">
        <f t="shared" si="889"/>
        <v>2.5601817985724269E-3</v>
      </c>
      <c r="K1430" s="4">
        <f t="shared" si="889"/>
        <v>2.5601817985724269E-3</v>
      </c>
      <c r="L1430" s="4">
        <f t="shared" si="889"/>
        <v>2.5601817985724269E-3</v>
      </c>
      <c r="M1430" s="4">
        <f t="shared" si="889"/>
        <v>2.5601817985724269E-3</v>
      </c>
      <c r="N1430" t="s">
        <v>256</v>
      </c>
      <c r="O1430" t="s">
        <v>353</v>
      </c>
      <c r="P1430" t="s">
        <v>351</v>
      </c>
      <c r="Q1430" s="4" t="s">
        <v>245</v>
      </c>
    </row>
    <row r="1431" spans="1:17" x14ac:dyDescent="0.25">
      <c r="A1431" t="s">
        <v>565</v>
      </c>
      <c r="B1431" t="s">
        <v>157</v>
      </c>
      <c r="C1431" s="4">
        <f t="shared" ref="C1431:M1431" si="890">(0.0181224344560457/(0.0328453630665826+0.350336698877979+0.0822572721273277+0.0181224344560457+0.178561789731549)) * 2.06079856336346%</f>
        <v>5.6404407343306462E-4</v>
      </c>
      <c r="D1431" s="4">
        <f t="shared" si="890"/>
        <v>5.6404407343306462E-4</v>
      </c>
      <c r="E1431" s="4">
        <f t="shared" si="890"/>
        <v>5.6404407343306462E-4</v>
      </c>
      <c r="F1431" s="4">
        <f t="shared" si="890"/>
        <v>5.6404407343306462E-4</v>
      </c>
      <c r="G1431" s="4">
        <f t="shared" si="890"/>
        <v>5.6404407343306462E-4</v>
      </c>
      <c r="H1431" s="4">
        <f t="shared" si="890"/>
        <v>5.6404407343306462E-4</v>
      </c>
      <c r="I1431" s="4">
        <f t="shared" si="890"/>
        <v>5.6404407343306462E-4</v>
      </c>
      <c r="J1431" s="4">
        <f t="shared" si="890"/>
        <v>5.6404407343306462E-4</v>
      </c>
      <c r="K1431" s="4">
        <f t="shared" si="890"/>
        <v>5.6404407343306462E-4</v>
      </c>
      <c r="L1431" s="4">
        <f t="shared" si="890"/>
        <v>5.6404407343306462E-4</v>
      </c>
      <c r="M1431" s="4">
        <f t="shared" si="890"/>
        <v>5.6404407343306462E-4</v>
      </c>
      <c r="N1431" t="s">
        <v>256</v>
      </c>
      <c r="O1431" t="s">
        <v>280</v>
      </c>
      <c r="P1431" t="s">
        <v>351</v>
      </c>
      <c r="Q1431" s="4" t="s">
        <v>245</v>
      </c>
    </row>
    <row r="1432" spans="1:17" x14ac:dyDescent="0.25">
      <c r="A1432" t="s">
        <v>565</v>
      </c>
      <c r="B1432" t="s">
        <v>157</v>
      </c>
      <c r="C1432" s="4">
        <f t="shared" ref="C1432:M1432" si="891">(0.178561789731549/(0.0328453630665826+0.350336698877979+0.0822572721273277+0.0181224344560457+0.178561789731549)) * 2.06079856336346%</f>
        <v>5.5575711687058608E-3</v>
      </c>
      <c r="D1432" s="4">
        <f t="shared" si="891"/>
        <v>5.5575711687058608E-3</v>
      </c>
      <c r="E1432" s="4">
        <f t="shared" si="891"/>
        <v>5.5575711687058608E-3</v>
      </c>
      <c r="F1432" s="4">
        <f t="shared" si="891"/>
        <v>5.5575711687058608E-3</v>
      </c>
      <c r="G1432" s="4">
        <f t="shared" si="891"/>
        <v>5.5575711687058608E-3</v>
      </c>
      <c r="H1432" s="4">
        <f t="shared" si="891"/>
        <v>5.5575711687058608E-3</v>
      </c>
      <c r="I1432" s="4">
        <f t="shared" si="891"/>
        <v>5.5575711687058608E-3</v>
      </c>
      <c r="J1432" s="4">
        <f t="shared" si="891"/>
        <v>5.5575711687058608E-3</v>
      </c>
      <c r="K1432" s="4">
        <f t="shared" si="891"/>
        <v>5.5575711687058608E-3</v>
      </c>
      <c r="L1432" s="4">
        <f t="shared" si="891"/>
        <v>5.5575711687058608E-3</v>
      </c>
      <c r="M1432" s="4">
        <f t="shared" si="891"/>
        <v>5.5575711687058608E-3</v>
      </c>
      <c r="N1432" t="s">
        <v>256</v>
      </c>
      <c r="O1432" t="s">
        <v>354</v>
      </c>
      <c r="P1432" t="s">
        <v>351</v>
      </c>
      <c r="Q1432" s="4" t="s">
        <v>245</v>
      </c>
    </row>
    <row r="1433" spans="1:17" x14ac:dyDescent="0.25">
      <c r="A1433" t="s">
        <v>565</v>
      </c>
      <c r="B1433" t="s">
        <v>207</v>
      </c>
      <c r="C1433" s="4">
        <f t="shared" ref="C1433:M1433" si="892">(0.0328453630665826/(0.0328453630665826+0.350336698877979+0.0822572721273277+0.0181224344560457+0.178561789731549)) * 0.710212580689732%</f>
        <v>3.5230871604279929E-4</v>
      </c>
      <c r="D1433" s="4">
        <f t="shared" si="892"/>
        <v>3.5230871604279929E-4</v>
      </c>
      <c r="E1433" s="4">
        <f t="shared" si="892"/>
        <v>3.5230871604279929E-4</v>
      </c>
      <c r="F1433" s="4">
        <f t="shared" si="892"/>
        <v>3.5230871604279929E-4</v>
      </c>
      <c r="G1433" s="4">
        <f t="shared" si="892"/>
        <v>3.5230871604279929E-4</v>
      </c>
      <c r="H1433" s="4">
        <f t="shared" si="892"/>
        <v>3.5230871604279929E-4</v>
      </c>
      <c r="I1433" s="4">
        <f t="shared" si="892"/>
        <v>3.5230871604279929E-4</v>
      </c>
      <c r="J1433" s="4">
        <f t="shared" si="892"/>
        <v>3.5230871604279929E-4</v>
      </c>
      <c r="K1433" s="4">
        <f t="shared" si="892"/>
        <v>3.5230871604279929E-4</v>
      </c>
      <c r="L1433" s="4">
        <f t="shared" si="892"/>
        <v>3.5230871604279929E-4</v>
      </c>
      <c r="M1433" s="4">
        <f t="shared" si="892"/>
        <v>3.5230871604279929E-4</v>
      </c>
      <c r="N1433" t="s">
        <v>242</v>
      </c>
      <c r="O1433" t="s">
        <v>358</v>
      </c>
      <c r="P1433" t="s">
        <v>351</v>
      </c>
      <c r="Q1433" s="4" t="s">
        <v>245</v>
      </c>
    </row>
    <row r="1434" spans="1:17" x14ac:dyDescent="0.25">
      <c r="A1434" t="s">
        <v>565</v>
      </c>
      <c r="B1434" t="s">
        <v>207</v>
      </c>
      <c r="C1434" s="4">
        <f t="shared" ref="C1434:M1434" si="893">(0.350336698877979/(0.0328453630665826+0.350336698877979+0.0822572721273277+0.0181224344560457+0.178561789731549)) * 0.710212580689732%</f>
        <v>3.7578111806579437E-3</v>
      </c>
      <c r="D1434" s="4">
        <f t="shared" si="893"/>
        <v>3.7578111806579437E-3</v>
      </c>
      <c r="E1434" s="4">
        <f t="shared" si="893"/>
        <v>3.7578111806579437E-3</v>
      </c>
      <c r="F1434" s="4">
        <f t="shared" si="893"/>
        <v>3.7578111806579437E-3</v>
      </c>
      <c r="G1434" s="4">
        <f t="shared" si="893"/>
        <v>3.7578111806579437E-3</v>
      </c>
      <c r="H1434" s="4">
        <f t="shared" si="893"/>
        <v>3.7578111806579437E-3</v>
      </c>
      <c r="I1434" s="4">
        <f t="shared" si="893"/>
        <v>3.7578111806579437E-3</v>
      </c>
      <c r="J1434" s="4">
        <f t="shared" si="893"/>
        <v>3.7578111806579437E-3</v>
      </c>
      <c r="K1434" s="4">
        <f t="shared" si="893"/>
        <v>3.7578111806579437E-3</v>
      </c>
      <c r="L1434" s="4">
        <f t="shared" si="893"/>
        <v>3.7578111806579437E-3</v>
      </c>
      <c r="M1434" s="4">
        <f t="shared" si="893"/>
        <v>3.7578111806579437E-3</v>
      </c>
      <c r="N1434" t="s">
        <v>256</v>
      </c>
      <c r="O1434" t="s">
        <v>356</v>
      </c>
      <c r="P1434" t="s">
        <v>351</v>
      </c>
      <c r="Q1434" s="4" t="s">
        <v>245</v>
      </c>
    </row>
    <row r="1435" spans="1:17" x14ac:dyDescent="0.25">
      <c r="A1435" t="s">
        <v>565</v>
      </c>
      <c r="B1435" t="s">
        <v>207</v>
      </c>
      <c r="C1435" s="4">
        <f t="shared" ref="C1435:M1435" si="894">(0.0822572721273277/(0.0328453630665826+0.350336698877979+0.0822572721273277+0.0181224344560457+0.178561789731549)) * 0.710212580689732%</f>
        <v>8.8231492127564966E-4</v>
      </c>
      <c r="D1435" s="4">
        <f t="shared" si="894"/>
        <v>8.8231492127564966E-4</v>
      </c>
      <c r="E1435" s="4">
        <f t="shared" si="894"/>
        <v>8.8231492127564966E-4</v>
      </c>
      <c r="F1435" s="4">
        <f t="shared" si="894"/>
        <v>8.8231492127564966E-4</v>
      </c>
      <c r="G1435" s="4">
        <f t="shared" si="894"/>
        <v>8.8231492127564966E-4</v>
      </c>
      <c r="H1435" s="4">
        <f t="shared" si="894"/>
        <v>8.8231492127564966E-4</v>
      </c>
      <c r="I1435" s="4">
        <f t="shared" si="894"/>
        <v>8.8231492127564966E-4</v>
      </c>
      <c r="J1435" s="4">
        <f t="shared" si="894"/>
        <v>8.8231492127564966E-4</v>
      </c>
      <c r="K1435" s="4">
        <f t="shared" si="894"/>
        <v>8.8231492127564966E-4</v>
      </c>
      <c r="L1435" s="4">
        <f t="shared" si="894"/>
        <v>8.8231492127564966E-4</v>
      </c>
      <c r="M1435" s="4">
        <f t="shared" si="894"/>
        <v>8.8231492127564966E-4</v>
      </c>
      <c r="N1435" t="s">
        <v>256</v>
      </c>
      <c r="O1435" t="s">
        <v>353</v>
      </c>
      <c r="P1435" t="s">
        <v>351</v>
      </c>
      <c r="Q1435" s="4" t="s">
        <v>245</v>
      </c>
    </row>
    <row r="1436" spans="1:17" x14ac:dyDescent="0.25">
      <c r="A1436" t="s">
        <v>565</v>
      </c>
      <c r="B1436" t="s">
        <v>207</v>
      </c>
      <c r="C1436" s="4">
        <f t="shared" ref="C1436:M1436" si="895">(0.0181224344560457/(0.0328453630665826+0.350336698877979+0.0822572721273277+0.0181224344560457+0.178561789731549)) * 0.710212580689732%</f>
        <v>1.9438639182756161E-4</v>
      </c>
      <c r="D1436" s="4">
        <f t="shared" si="895"/>
        <v>1.9438639182756161E-4</v>
      </c>
      <c r="E1436" s="4">
        <f t="shared" si="895"/>
        <v>1.9438639182756161E-4</v>
      </c>
      <c r="F1436" s="4">
        <f t="shared" si="895"/>
        <v>1.9438639182756161E-4</v>
      </c>
      <c r="G1436" s="4">
        <f t="shared" si="895"/>
        <v>1.9438639182756161E-4</v>
      </c>
      <c r="H1436" s="4">
        <f t="shared" si="895"/>
        <v>1.9438639182756161E-4</v>
      </c>
      <c r="I1436" s="4">
        <f t="shared" si="895"/>
        <v>1.9438639182756161E-4</v>
      </c>
      <c r="J1436" s="4">
        <f t="shared" si="895"/>
        <v>1.9438639182756161E-4</v>
      </c>
      <c r="K1436" s="4">
        <f t="shared" si="895"/>
        <v>1.9438639182756161E-4</v>
      </c>
      <c r="L1436" s="4">
        <f t="shared" si="895"/>
        <v>1.9438639182756161E-4</v>
      </c>
      <c r="M1436" s="4">
        <f t="shared" si="895"/>
        <v>1.9438639182756161E-4</v>
      </c>
      <c r="N1436" t="s">
        <v>256</v>
      </c>
      <c r="O1436" t="s">
        <v>280</v>
      </c>
      <c r="P1436" t="s">
        <v>351</v>
      </c>
      <c r="Q1436" s="4" t="s">
        <v>245</v>
      </c>
    </row>
    <row r="1437" spans="1:17" x14ac:dyDescent="0.25">
      <c r="A1437" t="s">
        <v>565</v>
      </c>
      <c r="B1437" t="s">
        <v>207</v>
      </c>
      <c r="C1437" s="4">
        <f t="shared" ref="C1437:M1437" si="896">(0.178561789731549/(0.0328453630665826+0.350336698877979+0.0822572721273277+0.0181224344560457+0.178561789731549)) * 0.710212580689732%</f>
        <v>1.9153045970933666E-3</v>
      </c>
      <c r="D1437" s="4">
        <f t="shared" si="896"/>
        <v>1.9153045970933666E-3</v>
      </c>
      <c r="E1437" s="4">
        <f t="shared" si="896"/>
        <v>1.9153045970933666E-3</v>
      </c>
      <c r="F1437" s="4">
        <f t="shared" si="896"/>
        <v>1.9153045970933666E-3</v>
      </c>
      <c r="G1437" s="4">
        <f t="shared" si="896"/>
        <v>1.9153045970933666E-3</v>
      </c>
      <c r="H1437" s="4">
        <f t="shared" si="896"/>
        <v>1.9153045970933666E-3</v>
      </c>
      <c r="I1437" s="4">
        <f t="shared" si="896"/>
        <v>1.9153045970933666E-3</v>
      </c>
      <c r="J1437" s="4">
        <f t="shared" si="896"/>
        <v>1.9153045970933666E-3</v>
      </c>
      <c r="K1437" s="4">
        <f t="shared" si="896"/>
        <v>1.9153045970933666E-3</v>
      </c>
      <c r="L1437" s="4">
        <f t="shared" si="896"/>
        <v>1.9153045970933666E-3</v>
      </c>
      <c r="M1437" s="4">
        <f t="shared" si="896"/>
        <v>1.9153045970933666E-3</v>
      </c>
      <c r="N1437" t="s">
        <v>256</v>
      </c>
      <c r="O1437" t="s">
        <v>354</v>
      </c>
      <c r="P1437" t="s">
        <v>351</v>
      </c>
      <c r="Q1437" s="4" t="s">
        <v>245</v>
      </c>
    </row>
    <row r="1438" spans="1:17" x14ac:dyDescent="0.25">
      <c r="A1438" t="s">
        <v>565</v>
      </c>
      <c r="B1438" t="s">
        <v>138</v>
      </c>
      <c r="C1438" s="4">
        <v>2.4576394924513069E-3</v>
      </c>
      <c r="D1438" s="4">
        <v>2.4576394924513069E-3</v>
      </c>
      <c r="E1438" s="4">
        <v>2.4576394924513069E-3</v>
      </c>
      <c r="F1438" s="4">
        <v>2.4576394924513069E-3</v>
      </c>
      <c r="G1438" s="4">
        <v>2.4576394924513069E-3</v>
      </c>
      <c r="H1438" s="4">
        <v>2.4576394924513069E-3</v>
      </c>
      <c r="I1438" s="4">
        <v>2.4576394924513069E-3</v>
      </c>
      <c r="J1438" s="4">
        <v>2.4576394924513069E-3</v>
      </c>
      <c r="K1438" s="4">
        <v>2.4576394924513069E-3</v>
      </c>
      <c r="L1438" s="4">
        <v>2.4576394924513069E-3</v>
      </c>
      <c r="M1438" s="4">
        <v>2.4576394924513069E-3</v>
      </c>
      <c r="N1438" t="s">
        <v>313</v>
      </c>
      <c r="O1438" t="s">
        <v>336</v>
      </c>
      <c r="P1438" t="s">
        <v>351</v>
      </c>
      <c r="Q1438" s="4" t="s">
        <v>245</v>
      </c>
    </row>
    <row r="1439" spans="1:17" x14ac:dyDescent="0.25">
      <c r="A1439" t="s">
        <v>565</v>
      </c>
      <c r="B1439" t="s">
        <v>208</v>
      </c>
      <c r="C1439" s="4">
        <f t="shared" ref="C1439:M1439" si="897">(0.0328453630665826/(0.0328453630665826+0.350336698877979+0.0822572721273277+0.0181224344560457+0.178561789731549)) * 0.000108558308869015%</f>
        <v>5.3851536079911705E-8</v>
      </c>
      <c r="D1439" s="4">
        <f t="shared" si="897"/>
        <v>5.3851536079911705E-8</v>
      </c>
      <c r="E1439" s="4">
        <f t="shared" si="897"/>
        <v>5.3851536079911705E-8</v>
      </c>
      <c r="F1439" s="4">
        <f t="shared" si="897"/>
        <v>5.3851536079911705E-8</v>
      </c>
      <c r="G1439" s="4">
        <f t="shared" si="897"/>
        <v>5.3851536079911705E-8</v>
      </c>
      <c r="H1439" s="4">
        <f t="shared" si="897"/>
        <v>5.3851536079911705E-8</v>
      </c>
      <c r="I1439" s="4">
        <f t="shared" si="897"/>
        <v>5.3851536079911705E-8</v>
      </c>
      <c r="J1439" s="4">
        <f t="shared" si="897"/>
        <v>5.3851536079911705E-8</v>
      </c>
      <c r="K1439" s="4">
        <f t="shared" si="897"/>
        <v>5.3851536079911705E-8</v>
      </c>
      <c r="L1439" s="4">
        <f t="shared" si="897"/>
        <v>5.3851536079911705E-8</v>
      </c>
      <c r="M1439" s="4">
        <f t="shared" si="897"/>
        <v>5.3851536079911705E-8</v>
      </c>
      <c r="N1439" t="s">
        <v>242</v>
      </c>
      <c r="O1439" t="s">
        <v>358</v>
      </c>
      <c r="P1439" t="s">
        <v>351</v>
      </c>
      <c r="Q1439" s="4" t="s">
        <v>245</v>
      </c>
    </row>
    <row r="1440" spans="1:17" x14ac:dyDescent="0.25">
      <c r="A1440" t="s">
        <v>565</v>
      </c>
      <c r="B1440" t="s">
        <v>208</v>
      </c>
      <c r="C1440" s="4">
        <f t="shared" ref="C1440:M1440" si="898">(0.350336698877979/(0.0328453630665826+0.350336698877979+0.0822572721273277+0.0181224344560457+0.178561789731549)) * 0.000108558308869015%</f>
        <v>5.743936926956789E-7</v>
      </c>
      <c r="D1440" s="4">
        <f t="shared" si="898"/>
        <v>5.743936926956789E-7</v>
      </c>
      <c r="E1440" s="4">
        <f t="shared" si="898"/>
        <v>5.743936926956789E-7</v>
      </c>
      <c r="F1440" s="4">
        <f t="shared" si="898"/>
        <v>5.743936926956789E-7</v>
      </c>
      <c r="G1440" s="4">
        <f t="shared" si="898"/>
        <v>5.743936926956789E-7</v>
      </c>
      <c r="H1440" s="4">
        <f t="shared" si="898"/>
        <v>5.743936926956789E-7</v>
      </c>
      <c r="I1440" s="4">
        <f t="shared" si="898"/>
        <v>5.743936926956789E-7</v>
      </c>
      <c r="J1440" s="4">
        <f t="shared" si="898"/>
        <v>5.743936926956789E-7</v>
      </c>
      <c r="K1440" s="4">
        <f t="shared" si="898"/>
        <v>5.743936926956789E-7</v>
      </c>
      <c r="L1440" s="4">
        <f t="shared" si="898"/>
        <v>5.743936926956789E-7</v>
      </c>
      <c r="M1440" s="4">
        <f t="shared" si="898"/>
        <v>5.743936926956789E-7</v>
      </c>
      <c r="N1440" t="s">
        <v>256</v>
      </c>
      <c r="O1440" t="s">
        <v>356</v>
      </c>
      <c r="P1440" t="s">
        <v>351</v>
      </c>
      <c r="Q1440" s="4" t="s">
        <v>245</v>
      </c>
    </row>
    <row r="1441" spans="1:17" x14ac:dyDescent="0.25">
      <c r="A1441" t="s">
        <v>565</v>
      </c>
      <c r="B1441" t="s">
        <v>208</v>
      </c>
      <c r="C1441" s="4">
        <f t="shared" ref="C1441:M1441" si="899">(0.0822572721273277/(0.0328453630665826+0.350336698877979+0.0822572721273277+0.0181224344560457+0.178561789731549)) * 0.000108558308869015%</f>
        <v>1.348647128308571E-7</v>
      </c>
      <c r="D1441" s="4">
        <f t="shared" si="899"/>
        <v>1.348647128308571E-7</v>
      </c>
      <c r="E1441" s="4">
        <f t="shared" si="899"/>
        <v>1.348647128308571E-7</v>
      </c>
      <c r="F1441" s="4">
        <f t="shared" si="899"/>
        <v>1.348647128308571E-7</v>
      </c>
      <c r="G1441" s="4">
        <f t="shared" si="899"/>
        <v>1.348647128308571E-7</v>
      </c>
      <c r="H1441" s="4">
        <f t="shared" si="899"/>
        <v>1.348647128308571E-7</v>
      </c>
      <c r="I1441" s="4">
        <f t="shared" si="899"/>
        <v>1.348647128308571E-7</v>
      </c>
      <c r="J1441" s="4">
        <f t="shared" si="899"/>
        <v>1.348647128308571E-7</v>
      </c>
      <c r="K1441" s="4">
        <f t="shared" si="899"/>
        <v>1.348647128308571E-7</v>
      </c>
      <c r="L1441" s="4">
        <f t="shared" si="899"/>
        <v>1.348647128308571E-7</v>
      </c>
      <c r="M1441" s="4">
        <f t="shared" si="899"/>
        <v>1.348647128308571E-7</v>
      </c>
      <c r="N1441" t="s">
        <v>256</v>
      </c>
      <c r="O1441" t="s">
        <v>353</v>
      </c>
      <c r="P1441" t="s">
        <v>351</v>
      </c>
      <c r="Q1441" s="4" t="s">
        <v>245</v>
      </c>
    </row>
    <row r="1442" spans="1:17" x14ac:dyDescent="0.25">
      <c r="A1442" t="s">
        <v>565</v>
      </c>
      <c r="B1442" t="s">
        <v>208</v>
      </c>
      <c r="C1442" s="4">
        <f t="shared" ref="C1442:M1442" si="900">(0.0181224344560457/(0.0328453630665826+0.350336698877979+0.0822572721273277+0.0181224344560457+0.178561789731549)) * 0.000108558308869015%</f>
        <v>2.9712593859511866E-8</v>
      </c>
      <c r="D1442" s="4">
        <f t="shared" si="900"/>
        <v>2.9712593859511866E-8</v>
      </c>
      <c r="E1442" s="4">
        <f t="shared" si="900"/>
        <v>2.9712593859511866E-8</v>
      </c>
      <c r="F1442" s="4">
        <f t="shared" si="900"/>
        <v>2.9712593859511866E-8</v>
      </c>
      <c r="G1442" s="4">
        <f t="shared" si="900"/>
        <v>2.9712593859511866E-8</v>
      </c>
      <c r="H1442" s="4">
        <f t="shared" si="900"/>
        <v>2.9712593859511866E-8</v>
      </c>
      <c r="I1442" s="4">
        <f t="shared" si="900"/>
        <v>2.9712593859511866E-8</v>
      </c>
      <c r="J1442" s="4">
        <f t="shared" si="900"/>
        <v>2.9712593859511866E-8</v>
      </c>
      <c r="K1442" s="4">
        <f t="shared" si="900"/>
        <v>2.9712593859511866E-8</v>
      </c>
      <c r="L1442" s="4">
        <f t="shared" si="900"/>
        <v>2.9712593859511866E-8</v>
      </c>
      <c r="M1442" s="4">
        <f t="shared" si="900"/>
        <v>2.9712593859511866E-8</v>
      </c>
      <c r="N1442" t="s">
        <v>256</v>
      </c>
      <c r="O1442" t="s">
        <v>280</v>
      </c>
      <c r="P1442" t="s">
        <v>351</v>
      </c>
      <c r="Q1442" s="4" t="s">
        <v>245</v>
      </c>
    </row>
    <row r="1443" spans="1:17" x14ac:dyDescent="0.25">
      <c r="A1443" t="s">
        <v>565</v>
      </c>
      <c r="B1443" t="s">
        <v>208</v>
      </c>
      <c r="C1443" s="4">
        <f t="shared" ref="C1443:M1443" si="901">(0.178561789731549/(0.0328453630665826+0.350336698877979+0.0822572721273277+0.0181224344560457+0.178561789731549)) * 0.000108558308869015%</f>
        <v>2.9276055322419054E-7</v>
      </c>
      <c r="D1443" s="4">
        <f t="shared" si="901"/>
        <v>2.9276055322419054E-7</v>
      </c>
      <c r="E1443" s="4">
        <f t="shared" si="901"/>
        <v>2.9276055322419054E-7</v>
      </c>
      <c r="F1443" s="4">
        <f t="shared" si="901"/>
        <v>2.9276055322419054E-7</v>
      </c>
      <c r="G1443" s="4">
        <f t="shared" si="901"/>
        <v>2.9276055322419054E-7</v>
      </c>
      <c r="H1443" s="4">
        <f t="shared" si="901"/>
        <v>2.9276055322419054E-7</v>
      </c>
      <c r="I1443" s="4">
        <f t="shared" si="901"/>
        <v>2.9276055322419054E-7</v>
      </c>
      <c r="J1443" s="4">
        <f t="shared" si="901"/>
        <v>2.9276055322419054E-7</v>
      </c>
      <c r="K1443" s="4">
        <f t="shared" si="901"/>
        <v>2.9276055322419054E-7</v>
      </c>
      <c r="L1443" s="4">
        <f t="shared" si="901"/>
        <v>2.9276055322419054E-7</v>
      </c>
      <c r="M1443" s="4">
        <f t="shared" si="901"/>
        <v>2.9276055322419054E-7</v>
      </c>
      <c r="N1443" t="s">
        <v>256</v>
      </c>
      <c r="O1443" t="s">
        <v>354</v>
      </c>
      <c r="P1443" t="s">
        <v>351</v>
      </c>
      <c r="Q1443" s="4" t="s">
        <v>245</v>
      </c>
    </row>
    <row r="1444" spans="1:17" x14ac:dyDescent="0.25">
      <c r="A1444" t="s">
        <v>565</v>
      </c>
      <c r="B1444" t="s">
        <v>139</v>
      </c>
      <c r="C1444" s="4">
        <f t="shared" ref="C1444:M1444" si="902">(0.0328453630665826/(0.0328453630665826+0.350336698877979+0.0822572721273277+0.0181224344560457+0.178561789731549)) * 0.22432971426066%</f>
        <v>1.1128120755713304E-4</v>
      </c>
      <c r="D1444" s="4">
        <f t="shared" si="902"/>
        <v>1.1128120755713304E-4</v>
      </c>
      <c r="E1444" s="4">
        <f t="shared" si="902"/>
        <v>1.1128120755713304E-4</v>
      </c>
      <c r="F1444" s="4">
        <f t="shared" si="902"/>
        <v>1.1128120755713304E-4</v>
      </c>
      <c r="G1444" s="4">
        <f t="shared" si="902"/>
        <v>1.1128120755713304E-4</v>
      </c>
      <c r="H1444" s="4">
        <f t="shared" si="902"/>
        <v>1.1128120755713304E-4</v>
      </c>
      <c r="I1444" s="4">
        <f t="shared" si="902"/>
        <v>1.1128120755713304E-4</v>
      </c>
      <c r="J1444" s="4">
        <f t="shared" si="902"/>
        <v>1.1128120755713304E-4</v>
      </c>
      <c r="K1444" s="4">
        <f t="shared" si="902"/>
        <v>1.1128120755713304E-4</v>
      </c>
      <c r="L1444" s="4">
        <f t="shared" si="902"/>
        <v>1.1128120755713304E-4</v>
      </c>
      <c r="M1444" s="4">
        <f t="shared" si="902"/>
        <v>1.1128120755713304E-4</v>
      </c>
      <c r="N1444" t="s">
        <v>242</v>
      </c>
      <c r="O1444" t="s">
        <v>358</v>
      </c>
      <c r="P1444" t="s">
        <v>351</v>
      </c>
      <c r="Q1444" s="4" t="s">
        <v>245</v>
      </c>
    </row>
    <row r="1445" spans="1:17" x14ac:dyDescent="0.25">
      <c r="A1445" t="s">
        <v>565</v>
      </c>
      <c r="B1445" t="s">
        <v>139</v>
      </c>
      <c r="C1445" s="4">
        <f t="shared" ref="C1445:M1445" si="903">(0.350336698877979/(0.0328453630665826+0.350336698877979+0.0822572721273277+0.0181224344560457+0.178561789731549)) * 0.22432971426066%</f>
        <v>1.1869526551949146E-3</v>
      </c>
      <c r="D1445" s="4">
        <f t="shared" si="903"/>
        <v>1.1869526551949146E-3</v>
      </c>
      <c r="E1445" s="4">
        <f t="shared" si="903"/>
        <v>1.1869526551949146E-3</v>
      </c>
      <c r="F1445" s="4">
        <f t="shared" si="903"/>
        <v>1.1869526551949146E-3</v>
      </c>
      <c r="G1445" s="4">
        <f t="shared" si="903"/>
        <v>1.1869526551949146E-3</v>
      </c>
      <c r="H1445" s="4">
        <f t="shared" si="903"/>
        <v>1.1869526551949146E-3</v>
      </c>
      <c r="I1445" s="4">
        <f t="shared" si="903"/>
        <v>1.1869526551949146E-3</v>
      </c>
      <c r="J1445" s="4">
        <f t="shared" si="903"/>
        <v>1.1869526551949146E-3</v>
      </c>
      <c r="K1445" s="4">
        <f t="shared" si="903"/>
        <v>1.1869526551949146E-3</v>
      </c>
      <c r="L1445" s="4">
        <f t="shared" si="903"/>
        <v>1.1869526551949146E-3</v>
      </c>
      <c r="M1445" s="4">
        <f t="shared" si="903"/>
        <v>1.1869526551949146E-3</v>
      </c>
      <c r="N1445" t="s">
        <v>256</v>
      </c>
      <c r="O1445" t="s">
        <v>356</v>
      </c>
      <c r="P1445" t="s">
        <v>351</v>
      </c>
      <c r="Q1445" s="4" t="s">
        <v>245</v>
      </c>
    </row>
    <row r="1446" spans="1:17" x14ac:dyDescent="0.25">
      <c r="A1446" t="s">
        <v>565</v>
      </c>
      <c r="B1446" t="s">
        <v>139</v>
      </c>
      <c r="C1446" s="4">
        <f t="shared" ref="C1446:M1446" si="904">(0.0822572721273277/(0.0328453630665826+0.350336698877979+0.0822572721273277+0.0181224344560457+0.178561789731549)) * 0.22432971426066%</f>
        <v>2.7869043658091991E-4</v>
      </c>
      <c r="D1446" s="4">
        <f t="shared" si="904"/>
        <v>2.7869043658091991E-4</v>
      </c>
      <c r="E1446" s="4">
        <f t="shared" si="904"/>
        <v>2.7869043658091991E-4</v>
      </c>
      <c r="F1446" s="4">
        <f t="shared" si="904"/>
        <v>2.7869043658091991E-4</v>
      </c>
      <c r="G1446" s="4">
        <f t="shared" si="904"/>
        <v>2.7869043658091991E-4</v>
      </c>
      <c r="H1446" s="4">
        <f t="shared" si="904"/>
        <v>2.7869043658091991E-4</v>
      </c>
      <c r="I1446" s="4">
        <f t="shared" si="904"/>
        <v>2.7869043658091991E-4</v>
      </c>
      <c r="J1446" s="4">
        <f t="shared" si="904"/>
        <v>2.7869043658091991E-4</v>
      </c>
      <c r="K1446" s="4">
        <f t="shared" si="904"/>
        <v>2.7869043658091991E-4</v>
      </c>
      <c r="L1446" s="4">
        <f t="shared" si="904"/>
        <v>2.7869043658091991E-4</v>
      </c>
      <c r="M1446" s="4">
        <f t="shared" si="904"/>
        <v>2.7869043658091991E-4</v>
      </c>
      <c r="N1446" t="s">
        <v>256</v>
      </c>
      <c r="O1446" t="s">
        <v>353</v>
      </c>
      <c r="P1446" t="s">
        <v>351</v>
      </c>
      <c r="Q1446" s="4" t="s">
        <v>245</v>
      </c>
    </row>
    <row r="1447" spans="1:17" x14ac:dyDescent="0.25">
      <c r="A1447" t="s">
        <v>565</v>
      </c>
      <c r="B1447" t="s">
        <v>139</v>
      </c>
      <c r="C1447" s="4">
        <f t="shared" ref="C1447:M1447" si="905">(0.0181224344560457/(0.0328453630665826+0.350336698877979+0.0822572721273277+0.0181224344560457+0.178561789731549)) * 0.22432971426066%</f>
        <v>6.1399424511022376E-5</v>
      </c>
      <c r="D1447" s="4">
        <f t="shared" si="905"/>
        <v>6.1399424511022376E-5</v>
      </c>
      <c r="E1447" s="4">
        <f t="shared" si="905"/>
        <v>6.1399424511022376E-5</v>
      </c>
      <c r="F1447" s="4">
        <f t="shared" si="905"/>
        <v>6.1399424511022376E-5</v>
      </c>
      <c r="G1447" s="4">
        <f t="shared" si="905"/>
        <v>6.1399424511022376E-5</v>
      </c>
      <c r="H1447" s="4">
        <f t="shared" si="905"/>
        <v>6.1399424511022376E-5</v>
      </c>
      <c r="I1447" s="4">
        <f t="shared" si="905"/>
        <v>6.1399424511022376E-5</v>
      </c>
      <c r="J1447" s="4">
        <f t="shared" si="905"/>
        <v>6.1399424511022376E-5</v>
      </c>
      <c r="K1447" s="4">
        <f t="shared" si="905"/>
        <v>6.1399424511022376E-5</v>
      </c>
      <c r="L1447" s="4">
        <f t="shared" si="905"/>
        <v>6.1399424511022376E-5</v>
      </c>
      <c r="M1447" s="4">
        <f t="shared" si="905"/>
        <v>6.1399424511022376E-5</v>
      </c>
      <c r="N1447" t="s">
        <v>256</v>
      </c>
      <c r="O1447" t="s">
        <v>280</v>
      </c>
      <c r="P1447" t="s">
        <v>351</v>
      </c>
      <c r="Q1447" s="4" t="s">
        <v>245</v>
      </c>
    </row>
    <row r="1448" spans="1:17" x14ac:dyDescent="0.25">
      <c r="A1448" t="s">
        <v>565</v>
      </c>
      <c r="B1448" t="s">
        <v>139</v>
      </c>
      <c r="C1448" s="4">
        <f t="shared" ref="C1448:M1448" si="906">(0.178561789731549/(0.0328453630665826+0.350336698877979+0.0822572721273277+0.0181224344560457+0.178561789731549)) * 0.22432971426066%</f>
        <v>6.0497341876261039E-4</v>
      </c>
      <c r="D1448" s="4">
        <f t="shared" si="906"/>
        <v>6.0497341876261039E-4</v>
      </c>
      <c r="E1448" s="4">
        <f t="shared" si="906"/>
        <v>6.0497341876261039E-4</v>
      </c>
      <c r="F1448" s="4">
        <f t="shared" si="906"/>
        <v>6.0497341876261039E-4</v>
      </c>
      <c r="G1448" s="4">
        <f t="shared" si="906"/>
        <v>6.0497341876261039E-4</v>
      </c>
      <c r="H1448" s="4">
        <f t="shared" si="906"/>
        <v>6.0497341876261039E-4</v>
      </c>
      <c r="I1448" s="4">
        <f t="shared" si="906"/>
        <v>6.0497341876261039E-4</v>
      </c>
      <c r="J1448" s="4">
        <f t="shared" si="906"/>
        <v>6.0497341876261039E-4</v>
      </c>
      <c r="K1448" s="4">
        <f t="shared" si="906"/>
        <v>6.0497341876261039E-4</v>
      </c>
      <c r="L1448" s="4">
        <f t="shared" si="906"/>
        <v>6.0497341876261039E-4</v>
      </c>
      <c r="M1448" s="4">
        <f t="shared" si="906"/>
        <v>6.0497341876261039E-4</v>
      </c>
      <c r="N1448" t="s">
        <v>256</v>
      </c>
      <c r="O1448" t="s">
        <v>354</v>
      </c>
      <c r="P1448" t="s">
        <v>351</v>
      </c>
      <c r="Q1448" s="4" t="s">
        <v>245</v>
      </c>
    </row>
    <row r="1449" spans="1:17" x14ac:dyDescent="0.25">
      <c r="A1449" t="s">
        <v>565</v>
      </c>
      <c r="B1449" t="s">
        <v>111</v>
      </c>
      <c r="C1449" s="4">
        <v>1.485722984164177E-2</v>
      </c>
      <c r="D1449" s="4">
        <v>1.485722984164177E-2</v>
      </c>
      <c r="E1449" s="4">
        <v>1.485722984164177E-2</v>
      </c>
      <c r="F1449" s="4">
        <v>1.485722984164177E-2</v>
      </c>
      <c r="G1449" s="4">
        <v>1.485722984164177E-2</v>
      </c>
      <c r="H1449" s="4">
        <v>1.485722984164177E-2</v>
      </c>
      <c r="I1449" s="4">
        <v>1.485722984164177E-2</v>
      </c>
      <c r="J1449" s="4">
        <v>1.485722984164177E-2</v>
      </c>
      <c r="K1449" s="4">
        <v>1.485722984164177E-2</v>
      </c>
      <c r="L1449" s="4">
        <v>1.485722984164177E-2</v>
      </c>
      <c r="M1449" s="4">
        <v>1.485722984164177E-2</v>
      </c>
      <c r="N1449" t="s">
        <v>357</v>
      </c>
      <c r="O1449" t="s">
        <v>350</v>
      </c>
      <c r="P1449" t="s">
        <v>351</v>
      </c>
      <c r="Q1449" s="4" t="s">
        <v>245</v>
      </c>
    </row>
    <row r="1450" spans="1:17" x14ac:dyDescent="0.25">
      <c r="A1450" t="s">
        <v>565</v>
      </c>
      <c r="B1450" t="s">
        <v>209</v>
      </c>
      <c r="C1450" s="4">
        <f t="shared" ref="C1450:M1450" si="907">(0.0328453630665826/(0.0328453630665826+0.350336698877979+0.0822572721273277+0.0181224344560457+0.178561789731549)) * 0.361861029563383%</f>
        <v>1.7950512026637216E-4</v>
      </c>
      <c r="D1450" s="4">
        <f t="shared" si="907"/>
        <v>1.7950512026637216E-4</v>
      </c>
      <c r="E1450" s="4">
        <f t="shared" si="907"/>
        <v>1.7950512026637216E-4</v>
      </c>
      <c r="F1450" s="4">
        <f t="shared" si="907"/>
        <v>1.7950512026637216E-4</v>
      </c>
      <c r="G1450" s="4">
        <f t="shared" si="907"/>
        <v>1.7950512026637216E-4</v>
      </c>
      <c r="H1450" s="4">
        <f t="shared" si="907"/>
        <v>1.7950512026637216E-4</v>
      </c>
      <c r="I1450" s="4">
        <f t="shared" si="907"/>
        <v>1.7950512026637216E-4</v>
      </c>
      <c r="J1450" s="4">
        <f t="shared" si="907"/>
        <v>1.7950512026637216E-4</v>
      </c>
      <c r="K1450" s="4">
        <f t="shared" si="907"/>
        <v>1.7950512026637216E-4</v>
      </c>
      <c r="L1450" s="4">
        <f t="shared" si="907"/>
        <v>1.7950512026637216E-4</v>
      </c>
      <c r="M1450" s="4">
        <f t="shared" si="907"/>
        <v>1.7950512026637216E-4</v>
      </c>
      <c r="N1450" t="s">
        <v>242</v>
      </c>
      <c r="O1450" t="s">
        <v>358</v>
      </c>
      <c r="P1450" t="s">
        <v>351</v>
      </c>
      <c r="Q1450" s="4" t="s">
        <v>245</v>
      </c>
    </row>
    <row r="1451" spans="1:17" x14ac:dyDescent="0.25">
      <c r="A1451" t="s">
        <v>565</v>
      </c>
      <c r="B1451" t="s">
        <v>209</v>
      </c>
      <c r="C1451" s="4">
        <f t="shared" ref="C1451:M1451" si="908">(0.350336698877979/(0.0328453630665826+0.350336698877979+0.0822572721273277+0.0181224344560457+0.178561789731549)) * 0.361861029563383%</f>
        <v>1.9146456423189278E-3</v>
      </c>
      <c r="D1451" s="4">
        <f t="shared" si="908"/>
        <v>1.9146456423189278E-3</v>
      </c>
      <c r="E1451" s="4">
        <f t="shared" si="908"/>
        <v>1.9146456423189278E-3</v>
      </c>
      <c r="F1451" s="4">
        <f t="shared" si="908"/>
        <v>1.9146456423189278E-3</v>
      </c>
      <c r="G1451" s="4">
        <f t="shared" si="908"/>
        <v>1.9146456423189278E-3</v>
      </c>
      <c r="H1451" s="4">
        <f t="shared" si="908"/>
        <v>1.9146456423189278E-3</v>
      </c>
      <c r="I1451" s="4">
        <f t="shared" si="908"/>
        <v>1.9146456423189278E-3</v>
      </c>
      <c r="J1451" s="4">
        <f t="shared" si="908"/>
        <v>1.9146456423189278E-3</v>
      </c>
      <c r="K1451" s="4">
        <f t="shared" si="908"/>
        <v>1.9146456423189278E-3</v>
      </c>
      <c r="L1451" s="4">
        <f t="shared" si="908"/>
        <v>1.9146456423189278E-3</v>
      </c>
      <c r="M1451" s="4">
        <f t="shared" si="908"/>
        <v>1.9146456423189278E-3</v>
      </c>
      <c r="N1451" t="s">
        <v>256</v>
      </c>
      <c r="O1451" t="s">
        <v>356</v>
      </c>
      <c r="P1451" t="s">
        <v>351</v>
      </c>
      <c r="Q1451" s="4" t="s">
        <v>245</v>
      </c>
    </row>
    <row r="1452" spans="1:17" x14ac:dyDescent="0.25">
      <c r="A1452" t="s">
        <v>565</v>
      </c>
      <c r="B1452" t="s">
        <v>209</v>
      </c>
      <c r="C1452" s="4">
        <f t="shared" ref="C1452:M1452" si="909">(0.0822572721273277/(0.0328453630665826+0.350336698877979+0.0822572721273277+0.0181224344560457+0.178561789731549)) * 0.361861029563383%</f>
        <v>4.4954904276952321E-4</v>
      </c>
      <c r="D1452" s="4">
        <f t="shared" si="909"/>
        <v>4.4954904276952321E-4</v>
      </c>
      <c r="E1452" s="4">
        <f t="shared" si="909"/>
        <v>4.4954904276952321E-4</v>
      </c>
      <c r="F1452" s="4">
        <f t="shared" si="909"/>
        <v>4.4954904276952321E-4</v>
      </c>
      <c r="G1452" s="4">
        <f t="shared" si="909"/>
        <v>4.4954904276952321E-4</v>
      </c>
      <c r="H1452" s="4">
        <f t="shared" si="909"/>
        <v>4.4954904276952321E-4</v>
      </c>
      <c r="I1452" s="4">
        <f t="shared" si="909"/>
        <v>4.4954904276952321E-4</v>
      </c>
      <c r="J1452" s="4">
        <f t="shared" si="909"/>
        <v>4.4954904276952321E-4</v>
      </c>
      <c r="K1452" s="4">
        <f t="shared" si="909"/>
        <v>4.4954904276952321E-4</v>
      </c>
      <c r="L1452" s="4">
        <f t="shared" si="909"/>
        <v>4.4954904276952321E-4</v>
      </c>
      <c r="M1452" s="4">
        <f t="shared" si="909"/>
        <v>4.4954904276952321E-4</v>
      </c>
      <c r="N1452" t="s">
        <v>256</v>
      </c>
      <c r="O1452" t="s">
        <v>353</v>
      </c>
      <c r="P1452" t="s">
        <v>351</v>
      </c>
      <c r="Q1452" s="4" t="s">
        <v>245</v>
      </c>
    </row>
    <row r="1453" spans="1:17" x14ac:dyDescent="0.25">
      <c r="A1453" t="s">
        <v>565</v>
      </c>
      <c r="B1453" t="s">
        <v>209</v>
      </c>
      <c r="C1453" s="4">
        <f t="shared" ref="C1453:M1453" si="910">(0.0181224344560457/(0.0328453630665826+0.350336698877979+0.0822572721273277+0.0181224344560457+0.178561789731549)) * 0.361861029563383%</f>
        <v>9.9041979531706116E-5</v>
      </c>
      <c r="D1453" s="4">
        <f t="shared" si="910"/>
        <v>9.9041979531706116E-5</v>
      </c>
      <c r="E1453" s="4">
        <f t="shared" si="910"/>
        <v>9.9041979531706116E-5</v>
      </c>
      <c r="F1453" s="4">
        <f t="shared" si="910"/>
        <v>9.9041979531706116E-5</v>
      </c>
      <c r="G1453" s="4">
        <f t="shared" si="910"/>
        <v>9.9041979531706116E-5</v>
      </c>
      <c r="H1453" s="4">
        <f t="shared" si="910"/>
        <v>9.9041979531706116E-5</v>
      </c>
      <c r="I1453" s="4">
        <f t="shared" si="910"/>
        <v>9.9041979531706116E-5</v>
      </c>
      <c r="J1453" s="4">
        <f t="shared" si="910"/>
        <v>9.9041979531706116E-5</v>
      </c>
      <c r="K1453" s="4">
        <f t="shared" si="910"/>
        <v>9.9041979531706116E-5</v>
      </c>
      <c r="L1453" s="4">
        <f t="shared" si="910"/>
        <v>9.9041979531706116E-5</v>
      </c>
      <c r="M1453" s="4">
        <f t="shared" si="910"/>
        <v>9.9041979531706116E-5</v>
      </c>
      <c r="N1453" t="s">
        <v>256</v>
      </c>
      <c r="O1453" t="s">
        <v>280</v>
      </c>
      <c r="P1453" t="s">
        <v>351</v>
      </c>
      <c r="Q1453" s="4" t="s">
        <v>245</v>
      </c>
    </row>
    <row r="1454" spans="1:17" x14ac:dyDescent="0.25">
      <c r="A1454" t="s">
        <v>565</v>
      </c>
      <c r="B1454" t="s">
        <v>209</v>
      </c>
      <c r="C1454" s="4">
        <f t="shared" ref="C1454:M1454" si="911">(0.178561789731549/(0.0328453630665826+0.350336698877979+0.0822572721273277+0.0181224344560457+0.178561789731549)) * 0.361861029563383%</f>
        <v>9.7586851074730075E-4</v>
      </c>
      <c r="D1454" s="4">
        <f t="shared" si="911"/>
        <v>9.7586851074730075E-4</v>
      </c>
      <c r="E1454" s="4">
        <f t="shared" si="911"/>
        <v>9.7586851074730075E-4</v>
      </c>
      <c r="F1454" s="4">
        <f t="shared" si="911"/>
        <v>9.7586851074730075E-4</v>
      </c>
      <c r="G1454" s="4">
        <f t="shared" si="911"/>
        <v>9.7586851074730075E-4</v>
      </c>
      <c r="H1454" s="4">
        <f t="shared" si="911"/>
        <v>9.7586851074730075E-4</v>
      </c>
      <c r="I1454" s="4">
        <f t="shared" si="911"/>
        <v>9.7586851074730075E-4</v>
      </c>
      <c r="J1454" s="4">
        <f t="shared" si="911"/>
        <v>9.7586851074730075E-4</v>
      </c>
      <c r="K1454" s="4">
        <f t="shared" si="911"/>
        <v>9.7586851074730075E-4</v>
      </c>
      <c r="L1454" s="4">
        <f t="shared" si="911"/>
        <v>9.7586851074730075E-4</v>
      </c>
      <c r="M1454" s="4">
        <f t="shared" si="911"/>
        <v>9.7586851074730075E-4</v>
      </c>
      <c r="N1454" t="s">
        <v>256</v>
      </c>
      <c r="O1454" t="s">
        <v>354</v>
      </c>
      <c r="P1454" t="s">
        <v>351</v>
      </c>
      <c r="Q1454" s="4" t="s">
        <v>245</v>
      </c>
    </row>
    <row r="1455" spans="1:17" x14ac:dyDescent="0.25">
      <c r="A1455" t="s">
        <v>565</v>
      </c>
      <c r="B1455" t="s">
        <v>112</v>
      </c>
      <c r="C1455" s="4">
        <f t="shared" ref="C1455:M1455" si="912">(0.0328453630665826/(0.0328453630665826+0.350336698877979+0.0822572721273277+0.0181224344560457+0.178561789731549)) * 1.02816780533276%</f>
        <v>5.1003388171685276E-4</v>
      </c>
      <c r="D1455" s="4">
        <f t="shared" si="912"/>
        <v>5.1003388171685276E-4</v>
      </c>
      <c r="E1455" s="4">
        <f t="shared" si="912"/>
        <v>5.1003388171685276E-4</v>
      </c>
      <c r="F1455" s="4">
        <f t="shared" si="912"/>
        <v>5.1003388171685276E-4</v>
      </c>
      <c r="G1455" s="4">
        <f t="shared" si="912"/>
        <v>5.1003388171685276E-4</v>
      </c>
      <c r="H1455" s="4">
        <f t="shared" si="912"/>
        <v>5.1003388171685276E-4</v>
      </c>
      <c r="I1455" s="4">
        <f t="shared" si="912"/>
        <v>5.1003388171685276E-4</v>
      </c>
      <c r="J1455" s="4">
        <f t="shared" si="912"/>
        <v>5.1003388171685276E-4</v>
      </c>
      <c r="K1455" s="4">
        <f t="shared" si="912"/>
        <v>5.1003388171685276E-4</v>
      </c>
      <c r="L1455" s="4">
        <f t="shared" si="912"/>
        <v>5.1003388171685276E-4</v>
      </c>
      <c r="M1455" s="4">
        <f t="shared" si="912"/>
        <v>5.1003388171685276E-4</v>
      </c>
      <c r="N1455" t="s">
        <v>242</v>
      </c>
      <c r="O1455" t="s">
        <v>358</v>
      </c>
      <c r="P1455" t="s">
        <v>351</v>
      </c>
      <c r="Q1455" s="4" t="s">
        <v>245</v>
      </c>
    </row>
    <row r="1456" spans="1:17" x14ac:dyDescent="0.25">
      <c r="A1456" t="s">
        <v>565</v>
      </c>
      <c r="B1456" t="s">
        <v>112</v>
      </c>
      <c r="C1456" s="4">
        <f t="shared" ref="C1456:M1456" si="913">(0.350336698877979/(0.0328453630665826+0.350336698877979+0.0822572721273277+0.0181224344560457+0.178561789731549)) * 1.02816780533276%</f>
        <v>5.4401464850421868E-3</v>
      </c>
      <c r="D1456" s="4">
        <f t="shared" si="913"/>
        <v>5.4401464850421868E-3</v>
      </c>
      <c r="E1456" s="4">
        <f t="shared" si="913"/>
        <v>5.4401464850421868E-3</v>
      </c>
      <c r="F1456" s="4">
        <f t="shared" si="913"/>
        <v>5.4401464850421868E-3</v>
      </c>
      <c r="G1456" s="4">
        <f t="shared" si="913"/>
        <v>5.4401464850421868E-3</v>
      </c>
      <c r="H1456" s="4">
        <f t="shared" si="913"/>
        <v>5.4401464850421868E-3</v>
      </c>
      <c r="I1456" s="4">
        <f t="shared" si="913"/>
        <v>5.4401464850421868E-3</v>
      </c>
      <c r="J1456" s="4">
        <f t="shared" si="913"/>
        <v>5.4401464850421868E-3</v>
      </c>
      <c r="K1456" s="4">
        <f t="shared" si="913"/>
        <v>5.4401464850421868E-3</v>
      </c>
      <c r="L1456" s="4">
        <f t="shared" si="913"/>
        <v>5.4401464850421868E-3</v>
      </c>
      <c r="M1456" s="4">
        <f t="shared" si="913"/>
        <v>5.4401464850421868E-3</v>
      </c>
      <c r="N1456" t="s">
        <v>256</v>
      </c>
      <c r="O1456" t="s">
        <v>356</v>
      </c>
      <c r="P1456" t="s">
        <v>351</v>
      </c>
      <c r="Q1456" s="4" t="s">
        <v>245</v>
      </c>
    </row>
    <row r="1457" spans="1:17" x14ac:dyDescent="0.25">
      <c r="A1457" t="s">
        <v>565</v>
      </c>
      <c r="B1457" t="s">
        <v>112</v>
      </c>
      <c r="C1457" s="4">
        <f t="shared" ref="C1457:M1457" si="914">(0.0822572721273277/(0.0328453630665826+0.350336698877979+0.0822572721273277+0.0181224344560457+0.178561789731549)) * 1.02816780533276%</f>
        <v>1.2773186801891402E-3</v>
      </c>
      <c r="D1457" s="4">
        <f t="shared" si="914"/>
        <v>1.2773186801891402E-3</v>
      </c>
      <c r="E1457" s="4">
        <f t="shared" si="914"/>
        <v>1.2773186801891402E-3</v>
      </c>
      <c r="F1457" s="4">
        <f t="shared" si="914"/>
        <v>1.2773186801891402E-3</v>
      </c>
      <c r="G1457" s="4">
        <f t="shared" si="914"/>
        <v>1.2773186801891402E-3</v>
      </c>
      <c r="H1457" s="4">
        <f t="shared" si="914"/>
        <v>1.2773186801891402E-3</v>
      </c>
      <c r="I1457" s="4">
        <f t="shared" si="914"/>
        <v>1.2773186801891402E-3</v>
      </c>
      <c r="J1457" s="4">
        <f t="shared" si="914"/>
        <v>1.2773186801891402E-3</v>
      </c>
      <c r="K1457" s="4">
        <f t="shared" si="914"/>
        <v>1.2773186801891402E-3</v>
      </c>
      <c r="L1457" s="4">
        <f t="shared" si="914"/>
        <v>1.2773186801891402E-3</v>
      </c>
      <c r="M1457" s="4">
        <f t="shared" si="914"/>
        <v>1.2773186801891402E-3</v>
      </c>
      <c r="N1457" t="s">
        <v>256</v>
      </c>
      <c r="O1457" t="s">
        <v>353</v>
      </c>
      <c r="P1457" t="s">
        <v>351</v>
      </c>
      <c r="Q1457" s="4" t="s">
        <v>245</v>
      </c>
    </row>
    <row r="1458" spans="1:17" x14ac:dyDescent="0.25">
      <c r="A1458" t="s">
        <v>565</v>
      </c>
      <c r="B1458" t="s">
        <v>112</v>
      </c>
      <c r="C1458" s="4">
        <f t="shared" ref="C1458:M1458" si="915">(0.0181224344560457/(0.0328453630665826+0.350336698877979+0.0822572721273277+0.0181224344560457+0.178561789731549)) * 1.02816780533276%</f>
        <v>2.8141127784275468E-4</v>
      </c>
      <c r="D1458" s="4">
        <f t="shared" si="915"/>
        <v>2.8141127784275468E-4</v>
      </c>
      <c r="E1458" s="4">
        <f t="shared" si="915"/>
        <v>2.8141127784275468E-4</v>
      </c>
      <c r="F1458" s="4">
        <f t="shared" si="915"/>
        <v>2.8141127784275468E-4</v>
      </c>
      <c r="G1458" s="4">
        <f t="shared" si="915"/>
        <v>2.8141127784275468E-4</v>
      </c>
      <c r="H1458" s="4">
        <f t="shared" si="915"/>
        <v>2.8141127784275468E-4</v>
      </c>
      <c r="I1458" s="4">
        <f t="shared" si="915"/>
        <v>2.8141127784275468E-4</v>
      </c>
      <c r="J1458" s="4">
        <f t="shared" si="915"/>
        <v>2.8141127784275468E-4</v>
      </c>
      <c r="K1458" s="4">
        <f t="shared" si="915"/>
        <v>2.8141127784275468E-4</v>
      </c>
      <c r="L1458" s="4">
        <f t="shared" si="915"/>
        <v>2.8141127784275468E-4</v>
      </c>
      <c r="M1458" s="4">
        <f t="shared" si="915"/>
        <v>2.8141127784275468E-4</v>
      </c>
      <c r="N1458" t="s">
        <v>256</v>
      </c>
      <c r="O1458" t="s">
        <v>280</v>
      </c>
      <c r="P1458" t="s">
        <v>351</v>
      </c>
      <c r="Q1458" s="4" t="s">
        <v>245</v>
      </c>
    </row>
    <row r="1459" spans="1:17" x14ac:dyDescent="0.25">
      <c r="A1459" t="s">
        <v>565</v>
      </c>
      <c r="B1459" t="s">
        <v>112</v>
      </c>
      <c r="C1459" s="4">
        <f t="shared" ref="C1459:M1459" si="916">(0.178561789731549/(0.0328453630665826+0.350336698877979+0.0822572721273277+0.0181224344560457+0.178561789731549)) * 1.02816780533276%</f>
        <v>2.7727677285366674E-3</v>
      </c>
      <c r="D1459" s="4">
        <f t="shared" si="916"/>
        <v>2.7727677285366674E-3</v>
      </c>
      <c r="E1459" s="4">
        <f t="shared" si="916"/>
        <v>2.7727677285366674E-3</v>
      </c>
      <c r="F1459" s="4">
        <f t="shared" si="916"/>
        <v>2.7727677285366674E-3</v>
      </c>
      <c r="G1459" s="4">
        <f t="shared" si="916"/>
        <v>2.7727677285366674E-3</v>
      </c>
      <c r="H1459" s="4">
        <f t="shared" si="916"/>
        <v>2.7727677285366674E-3</v>
      </c>
      <c r="I1459" s="4">
        <f t="shared" si="916"/>
        <v>2.7727677285366674E-3</v>
      </c>
      <c r="J1459" s="4">
        <f t="shared" si="916"/>
        <v>2.7727677285366674E-3</v>
      </c>
      <c r="K1459" s="4">
        <f t="shared" si="916"/>
        <v>2.7727677285366674E-3</v>
      </c>
      <c r="L1459" s="4">
        <f t="shared" si="916"/>
        <v>2.7727677285366674E-3</v>
      </c>
      <c r="M1459" s="4">
        <f t="shared" si="916"/>
        <v>2.7727677285366674E-3</v>
      </c>
      <c r="N1459" t="s">
        <v>256</v>
      </c>
      <c r="O1459" t="s">
        <v>354</v>
      </c>
      <c r="P1459" t="s">
        <v>351</v>
      </c>
      <c r="Q1459" s="4" t="s">
        <v>245</v>
      </c>
    </row>
    <row r="1460" spans="1:17" x14ac:dyDescent="0.25">
      <c r="A1460" t="s">
        <v>565</v>
      </c>
      <c r="B1460" t="s">
        <v>113</v>
      </c>
      <c r="C1460" s="4">
        <v>6.2896512992529796E-2</v>
      </c>
      <c r="D1460" s="4">
        <v>6.2896512992529796E-2</v>
      </c>
      <c r="E1460" s="4">
        <v>6.2896512992529796E-2</v>
      </c>
      <c r="F1460" s="4">
        <v>6.2896512992529796E-2</v>
      </c>
      <c r="G1460" s="4">
        <v>6.2896512992529796E-2</v>
      </c>
      <c r="H1460" s="4">
        <v>6.2896512992529796E-2</v>
      </c>
      <c r="I1460" s="4">
        <v>6.2896512992529796E-2</v>
      </c>
      <c r="J1460" s="4">
        <v>6.2896512992529796E-2</v>
      </c>
      <c r="K1460" s="4">
        <v>6.2896512992529796E-2</v>
      </c>
      <c r="L1460" s="4">
        <v>6.2896512992529796E-2</v>
      </c>
      <c r="M1460" s="4">
        <v>6.2896512992529796E-2</v>
      </c>
      <c r="N1460" t="s">
        <v>276</v>
      </c>
      <c r="O1460" t="s">
        <v>350</v>
      </c>
      <c r="P1460" t="s">
        <v>351</v>
      </c>
      <c r="Q1460" s="4" t="s">
        <v>245</v>
      </c>
    </row>
    <row r="1461" spans="1:17" x14ac:dyDescent="0.25">
      <c r="A1461" t="s">
        <v>565</v>
      </c>
      <c r="B1461" t="s">
        <v>142</v>
      </c>
      <c r="C1461" s="4">
        <f t="shared" ref="C1461:M1461" si="917">(0.0328453630665826/(0.0328453630665826+0.350336698877979+0.0822572721273277+0.0181224344560457+0.178561789731549)) * 0.000241240686375588%</f>
        <v>1.196700801775811E-7</v>
      </c>
      <c r="D1461" s="4">
        <f t="shared" si="917"/>
        <v>1.196700801775811E-7</v>
      </c>
      <c r="E1461" s="4">
        <f t="shared" si="917"/>
        <v>1.196700801775811E-7</v>
      </c>
      <c r="F1461" s="4">
        <f t="shared" si="917"/>
        <v>1.196700801775811E-7</v>
      </c>
      <c r="G1461" s="4">
        <f t="shared" si="917"/>
        <v>1.196700801775811E-7</v>
      </c>
      <c r="H1461" s="4">
        <f t="shared" si="917"/>
        <v>1.196700801775811E-7</v>
      </c>
      <c r="I1461" s="4">
        <f t="shared" si="917"/>
        <v>1.196700801775811E-7</v>
      </c>
      <c r="J1461" s="4">
        <f t="shared" si="917"/>
        <v>1.196700801775811E-7</v>
      </c>
      <c r="K1461" s="4">
        <f t="shared" si="917"/>
        <v>1.196700801775811E-7</v>
      </c>
      <c r="L1461" s="4">
        <f t="shared" si="917"/>
        <v>1.196700801775811E-7</v>
      </c>
      <c r="M1461" s="4">
        <f t="shared" si="917"/>
        <v>1.196700801775811E-7</v>
      </c>
      <c r="N1461" t="s">
        <v>242</v>
      </c>
      <c r="O1461" t="s">
        <v>358</v>
      </c>
      <c r="P1461" t="s">
        <v>351</v>
      </c>
      <c r="Q1461" s="4" t="s">
        <v>245</v>
      </c>
    </row>
    <row r="1462" spans="1:17" x14ac:dyDescent="0.25">
      <c r="A1462" t="s">
        <v>565</v>
      </c>
      <c r="B1462" t="s">
        <v>142</v>
      </c>
      <c r="C1462" s="4">
        <f t="shared" ref="C1462:M1462" si="918">(0.350336698877979/(0.0328453630665826+0.350336698877979+0.0822572721273277+0.0181224344560457+0.178561789731549)) * 0.000241240686375588%</f>
        <v>1.276430428212615E-6</v>
      </c>
      <c r="D1462" s="4">
        <f t="shared" si="918"/>
        <v>1.276430428212615E-6</v>
      </c>
      <c r="E1462" s="4">
        <f t="shared" si="918"/>
        <v>1.276430428212615E-6</v>
      </c>
      <c r="F1462" s="4">
        <f t="shared" si="918"/>
        <v>1.276430428212615E-6</v>
      </c>
      <c r="G1462" s="4">
        <f t="shared" si="918"/>
        <v>1.276430428212615E-6</v>
      </c>
      <c r="H1462" s="4">
        <f t="shared" si="918"/>
        <v>1.276430428212615E-6</v>
      </c>
      <c r="I1462" s="4">
        <f t="shared" si="918"/>
        <v>1.276430428212615E-6</v>
      </c>
      <c r="J1462" s="4">
        <f t="shared" si="918"/>
        <v>1.276430428212615E-6</v>
      </c>
      <c r="K1462" s="4">
        <f t="shared" si="918"/>
        <v>1.276430428212615E-6</v>
      </c>
      <c r="L1462" s="4">
        <f t="shared" si="918"/>
        <v>1.276430428212615E-6</v>
      </c>
      <c r="M1462" s="4">
        <f t="shared" si="918"/>
        <v>1.276430428212615E-6</v>
      </c>
      <c r="N1462" t="s">
        <v>256</v>
      </c>
      <c r="O1462" t="s">
        <v>356</v>
      </c>
      <c r="P1462" t="s">
        <v>351</v>
      </c>
      <c r="Q1462" s="4" t="s">
        <v>245</v>
      </c>
    </row>
    <row r="1463" spans="1:17" x14ac:dyDescent="0.25">
      <c r="A1463" t="s">
        <v>565</v>
      </c>
      <c r="B1463" t="s">
        <v>142</v>
      </c>
      <c r="C1463" s="4">
        <f t="shared" ref="C1463:M1463" si="919">(0.0822572721273277/(0.0328453630665826+0.350336698877979+0.0822572721273277+0.0181224344560457+0.178561789731549)) * 0.000241240686375588%</f>
        <v>2.9969936184634799E-7</v>
      </c>
      <c r="D1463" s="4">
        <f t="shared" si="919"/>
        <v>2.9969936184634799E-7</v>
      </c>
      <c r="E1463" s="4">
        <f t="shared" si="919"/>
        <v>2.9969936184634799E-7</v>
      </c>
      <c r="F1463" s="4">
        <f t="shared" si="919"/>
        <v>2.9969936184634799E-7</v>
      </c>
      <c r="G1463" s="4">
        <f t="shared" si="919"/>
        <v>2.9969936184634799E-7</v>
      </c>
      <c r="H1463" s="4">
        <f t="shared" si="919"/>
        <v>2.9969936184634799E-7</v>
      </c>
      <c r="I1463" s="4">
        <f t="shared" si="919"/>
        <v>2.9969936184634799E-7</v>
      </c>
      <c r="J1463" s="4">
        <f t="shared" si="919"/>
        <v>2.9969936184634799E-7</v>
      </c>
      <c r="K1463" s="4">
        <f t="shared" si="919"/>
        <v>2.9969936184634799E-7</v>
      </c>
      <c r="L1463" s="4">
        <f t="shared" si="919"/>
        <v>2.9969936184634799E-7</v>
      </c>
      <c r="M1463" s="4">
        <f t="shared" si="919"/>
        <v>2.9969936184634799E-7</v>
      </c>
      <c r="N1463" t="s">
        <v>256</v>
      </c>
      <c r="O1463" t="s">
        <v>353</v>
      </c>
      <c r="P1463" t="s">
        <v>351</v>
      </c>
      <c r="Q1463" s="4" t="s">
        <v>245</v>
      </c>
    </row>
    <row r="1464" spans="1:17" x14ac:dyDescent="0.25">
      <c r="A1464" t="s">
        <v>565</v>
      </c>
      <c r="B1464" t="s">
        <v>142</v>
      </c>
      <c r="C1464" s="4">
        <f t="shared" ref="C1464:M1464" si="920">(0.0181224344560457/(0.0328453630665826+0.350336698877979+0.0822572721273277+0.0181224344560457+0.178561789731549)) * 0.000241240686375588%</f>
        <v>6.6027986354470559E-8</v>
      </c>
      <c r="D1464" s="4">
        <f t="shared" si="920"/>
        <v>6.6027986354470559E-8</v>
      </c>
      <c r="E1464" s="4">
        <f t="shared" si="920"/>
        <v>6.6027986354470559E-8</v>
      </c>
      <c r="F1464" s="4">
        <f t="shared" si="920"/>
        <v>6.6027986354470559E-8</v>
      </c>
      <c r="G1464" s="4">
        <f t="shared" si="920"/>
        <v>6.6027986354470559E-8</v>
      </c>
      <c r="H1464" s="4">
        <f t="shared" si="920"/>
        <v>6.6027986354470559E-8</v>
      </c>
      <c r="I1464" s="4">
        <f t="shared" si="920"/>
        <v>6.6027986354470559E-8</v>
      </c>
      <c r="J1464" s="4">
        <f t="shared" si="920"/>
        <v>6.6027986354470559E-8</v>
      </c>
      <c r="K1464" s="4">
        <f t="shared" si="920"/>
        <v>6.6027986354470559E-8</v>
      </c>
      <c r="L1464" s="4">
        <f t="shared" si="920"/>
        <v>6.6027986354470559E-8</v>
      </c>
      <c r="M1464" s="4">
        <f t="shared" si="920"/>
        <v>6.6027986354470559E-8</v>
      </c>
      <c r="N1464" t="s">
        <v>256</v>
      </c>
      <c r="O1464" t="s">
        <v>280</v>
      </c>
      <c r="P1464" t="s">
        <v>351</v>
      </c>
      <c r="Q1464" s="4" t="s">
        <v>245</v>
      </c>
    </row>
    <row r="1465" spans="1:17" x14ac:dyDescent="0.25">
      <c r="A1465" t="s">
        <v>565</v>
      </c>
      <c r="B1465" t="s">
        <v>142</v>
      </c>
      <c r="C1465" s="4">
        <f t="shared" ref="C1465:M1465" si="921">(0.178561789731549/(0.0328453630665826+0.350336698877979+0.0822572721273277+0.0181224344560457+0.178561789731549)) * 0.000241240686375588%</f>
        <v>6.5057900716486537E-7</v>
      </c>
      <c r="D1465" s="4">
        <f t="shared" si="921"/>
        <v>6.5057900716486537E-7</v>
      </c>
      <c r="E1465" s="4">
        <f t="shared" si="921"/>
        <v>6.5057900716486537E-7</v>
      </c>
      <c r="F1465" s="4">
        <f t="shared" si="921"/>
        <v>6.5057900716486537E-7</v>
      </c>
      <c r="G1465" s="4">
        <f t="shared" si="921"/>
        <v>6.5057900716486537E-7</v>
      </c>
      <c r="H1465" s="4">
        <f t="shared" si="921"/>
        <v>6.5057900716486537E-7</v>
      </c>
      <c r="I1465" s="4">
        <f t="shared" si="921"/>
        <v>6.5057900716486537E-7</v>
      </c>
      <c r="J1465" s="4">
        <f t="shared" si="921"/>
        <v>6.5057900716486537E-7</v>
      </c>
      <c r="K1465" s="4">
        <f t="shared" si="921"/>
        <v>6.5057900716486537E-7</v>
      </c>
      <c r="L1465" s="4">
        <f t="shared" si="921"/>
        <v>6.5057900716486537E-7</v>
      </c>
      <c r="M1465" s="4">
        <f t="shared" si="921"/>
        <v>6.5057900716486537E-7</v>
      </c>
      <c r="N1465" t="s">
        <v>256</v>
      </c>
      <c r="O1465" t="s">
        <v>354</v>
      </c>
      <c r="P1465" t="s">
        <v>351</v>
      </c>
      <c r="Q1465" s="4" t="s">
        <v>245</v>
      </c>
    </row>
    <row r="1466" spans="1:17" x14ac:dyDescent="0.25">
      <c r="A1466" t="s">
        <v>565</v>
      </c>
      <c r="B1466" t="s">
        <v>140</v>
      </c>
      <c r="C1466" s="4">
        <f t="shared" ref="C1466:M1466" si="922">(0.0328453630665826/(0.0328453630665826+0.350336698877979+0.0822572721273277+0.0181224344560457+0.178561789731549)) * 0.000946869694024185%</f>
        <v>4.6970506469700698E-7</v>
      </c>
      <c r="D1466" s="4">
        <f t="shared" si="922"/>
        <v>4.6970506469700698E-7</v>
      </c>
      <c r="E1466" s="4">
        <f t="shared" si="922"/>
        <v>4.6970506469700698E-7</v>
      </c>
      <c r="F1466" s="4">
        <f t="shared" si="922"/>
        <v>4.6970506469700698E-7</v>
      </c>
      <c r="G1466" s="4">
        <f t="shared" si="922"/>
        <v>4.6970506469700698E-7</v>
      </c>
      <c r="H1466" s="4">
        <f t="shared" si="922"/>
        <v>4.6970506469700698E-7</v>
      </c>
      <c r="I1466" s="4">
        <f t="shared" si="922"/>
        <v>4.6970506469700698E-7</v>
      </c>
      <c r="J1466" s="4">
        <f t="shared" si="922"/>
        <v>4.6970506469700698E-7</v>
      </c>
      <c r="K1466" s="4">
        <f t="shared" si="922"/>
        <v>4.6970506469700698E-7</v>
      </c>
      <c r="L1466" s="4">
        <f t="shared" si="922"/>
        <v>4.6970506469700698E-7</v>
      </c>
      <c r="M1466" s="4">
        <f t="shared" si="922"/>
        <v>4.6970506469700698E-7</v>
      </c>
      <c r="N1466" t="s">
        <v>242</v>
      </c>
      <c r="O1466" t="s">
        <v>358</v>
      </c>
      <c r="P1466" t="s">
        <v>351</v>
      </c>
      <c r="Q1466" s="4" t="s">
        <v>245</v>
      </c>
    </row>
    <row r="1467" spans="1:17" x14ac:dyDescent="0.25">
      <c r="A1467" t="s">
        <v>565</v>
      </c>
      <c r="B1467" t="s">
        <v>140</v>
      </c>
      <c r="C1467" s="4">
        <f t="shared" ref="C1467:M1467" si="923">(0.350336698877979/(0.0328453630665826+0.350336698877979+0.0822572721273277+0.0181224344560457+0.178561789731549)) * 0.000946869694024185%</f>
        <v>5.0099894307345252E-6</v>
      </c>
      <c r="D1467" s="4">
        <f t="shared" si="923"/>
        <v>5.0099894307345252E-6</v>
      </c>
      <c r="E1467" s="4">
        <f t="shared" si="923"/>
        <v>5.0099894307345252E-6</v>
      </c>
      <c r="F1467" s="4">
        <f t="shared" si="923"/>
        <v>5.0099894307345252E-6</v>
      </c>
      <c r="G1467" s="4">
        <f t="shared" si="923"/>
        <v>5.0099894307345252E-6</v>
      </c>
      <c r="H1467" s="4">
        <f t="shared" si="923"/>
        <v>5.0099894307345252E-6</v>
      </c>
      <c r="I1467" s="4">
        <f t="shared" si="923"/>
        <v>5.0099894307345252E-6</v>
      </c>
      <c r="J1467" s="4">
        <f t="shared" si="923"/>
        <v>5.0099894307345252E-6</v>
      </c>
      <c r="K1467" s="4">
        <f t="shared" si="923"/>
        <v>5.0099894307345252E-6</v>
      </c>
      <c r="L1467" s="4">
        <f t="shared" si="923"/>
        <v>5.0099894307345252E-6</v>
      </c>
      <c r="M1467" s="4">
        <f t="shared" si="923"/>
        <v>5.0099894307345252E-6</v>
      </c>
      <c r="N1467" t="s">
        <v>256</v>
      </c>
      <c r="O1467" t="s">
        <v>356</v>
      </c>
      <c r="P1467" t="s">
        <v>351</v>
      </c>
      <c r="Q1467" s="4" t="s">
        <v>245</v>
      </c>
    </row>
    <row r="1468" spans="1:17" x14ac:dyDescent="0.25">
      <c r="A1468" t="s">
        <v>565</v>
      </c>
      <c r="B1468" t="s">
        <v>140</v>
      </c>
      <c r="C1468" s="4">
        <f t="shared" ref="C1468:M1468" si="924">(0.0822572721273277/(0.0328453630665826+0.350336698877979+0.0822572721273277+0.0181224344560457+0.178561789731549)) * 0.000946869694024185%</f>
        <v>1.1763199952469186E-6</v>
      </c>
      <c r="D1468" s="4">
        <f t="shared" si="924"/>
        <v>1.1763199952469186E-6</v>
      </c>
      <c r="E1468" s="4">
        <f t="shared" si="924"/>
        <v>1.1763199952469186E-6</v>
      </c>
      <c r="F1468" s="4">
        <f t="shared" si="924"/>
        <v>1.1763199952469186E-6</v>
      </c>
      <c r="G1468" s="4">
        <f t="shared" si="924"/>
        <v>1.1763199952469186E-6</v>
      </c>
      <c r="H1468" s="4">
        <f t="shared" si="924"/>
        <v>1.1763199952469186E-6</v>
      </c>
      <c r="I1468" s="4">
        <f t="shared" si="924"/>
        <v>1.1763199952469186E-6</v>
      </c>
      <c r="J1468" s="4">
        <f t="shared" si="924"/>
        <v>1.1763199952469186E-6</v>
      </c>
      <c r="K1468" s="4">
        <f t="shared" si="924"/>
        <v>1.1763199952469186E-6</v>
      </c>
      <c r="L1468" s="4">
        <f t="shared" si="924"/>
        <v>1.1763199952469186E-6</v>
      </c>
      <c r="M1468" s="4">
        <f t="shared" si="924"/>
        <v>1.1763199952469186E-6</v>
      </c>
      <c r="N1468" t="s">
        <v>256</v>
      </c>
      <c r="O1468" t="s">
        <v>353</v>
      </c>
      <c r="P1468" t="s">
        <v>351</v>
      </c>
      <c r="Q1468" s="4" t="s">
        <v>245</v>
      </c>
    </row>
    <row r="1469" spans="1:17" x14ac:dyDescent="0.25">
      <c r="A1469" t="s">
        <v>565</v>
      </c>
      <c r="B1469" t="s">
        <v>140</v>
      </c>
      <c r="C1469" s="4">
        <f t="shared" ref="C1469:M1469" si="925">(0.0181224344560457/(0.0328453630665826+0.350336698877979+0.0822572721273277+0.0181224344560457+0.178561789731549)) * 0.000946869694024185%</f>
        <v>2.5915984644129757E-7</v>
      </c>
      <c r="D1469" s="4">
        <f t="shared" si="925"/>
        <v>2.5915984644129757E-7</v>
      </c>
      <c r="E1469" s="4">
        <f t="shared" si="925"/>
        <v>2.5915984644129757E-7</v>
      </c>
      <c r="F1469" s="4">
        <f t="shared" si="925"/>
        <v>2.5915984644129757E-7</v>
      </c>
      <c r="G1469" s="4">
        <f t="shared" si="925"/>
        <v>2.5915984644129757E-7</v>
      </c>
      <c r="H1469" s="4">
        <f t="shared" si="925"/>
        <v>2.5915984644129757E-7</v>
      </c>
      <c r="I1469" s="4">
        <f t="shared" si="925"/>
        <v>2.5915984644129757E-7</v>
      </c>
      <c r="J1469" s="4">
        <f t="shared" si="925"/>
        <v>2.5915984644129757E-7</v>
      </c>
      <c r="K1469" s="4">
        <f t="shared" si="925"/>
        <v>2.5915984644129757E-7</v>
      </c>
      <c r="L1469" s="4">
        <f t="shared" si="925"/>
        <v>2.5915984644129757E-7</v>
      </c>
      <c r="M1469" s="4">
        <f t="shared" si="925"/>
        <v>2.5915984644129757E-7</v>
      </c>
      <c r="N1469" t="s">
        <v>256</v>
      </c>
      <c r="O1469" t="s">
        <v>280</v>
      </c>
      <c r="P1469" t="s">
        <v>351</v>
      </c>
      <c r="Q1469" s="4" t="s">
        <v>245</v>
      </c>
    </row>
    <row r="1470" spans="1:17" x14ac:dyDescent="0.25">
      <c r="A1470" t="s">
        <v>565</v>
      </c>
      <c r="B1470" t="s">
        <v>140</v>
      </c>
      <c r="C1470" s="4">
        <f t="shared" ref="C1470:M1470" si="926">(0.178561789731549/(0.0328453630665826+0.350336698877979+0.0822572721273277+0.0181224344560457+0.178561789731549)) * 0.000946869694024185%</f>
        <v>2.5535226031221025E-6</v>
      </c>
      <c r="D1470" s="4">
        <f t="shared" si="926"/>
        <v>2.5535226031221025E-6</v>
      </c>
      <c r="E1470" s="4">
        <f t="shared" si="926"/>
        <v>2.5535226031221025E-6</v>
      </c>
      <c r="F1470" s="4">
        <f t="shared" si="926"/>
        <v>2.5535226031221025E-6</v>
      </c>
      <c r="G1470" s="4">
        <f t="shared" si="926"/>
        <v>2.5535226031221025E-6</v>
      </c>
      <c r="H1470" s="4">
        <f t="shared" si="926"/>
        <v>2.5535226031221025E-6</v>
      </c>
      <c r="I1470" s="4">
        <f t="shared" si="926"/>
        <v>2.5535226031221025E-6</v>
      </c>
      <c r="J1470" s="4">
        <f t="shared" si="926"/>
        <v>2.5535226031221025E-6</v>
      </c>
      <c r="K1470" s="4">
        <f t="shared" si="926"/>
        <v>2.5535226031221025E-6</v>
      </c>
      <c r="L1470" s="4">
        <f t="shared" si="926"/>
        <v>2.5535226031221025E-6</v>
      </c>
      <c r="M1470" s="4">
        <f t="shared" si="926"/>
        <v>2.5535226031221025E-6</v>
      </c>
      <c r="N1470" t="s">
        <v>256</v>
      </c>
      <c r="O1470" t="s">
        <v>354</v>
      </c>
      <c r="P1470" t="s">
        <v>351</v>
      </c>
      <c r="Q1470" s="4" t="s">
        <v>245</v>
      </c>
    </row>
    <row r="1471" spans="1:17" x14ac:dyDescent="0.25">
      <c r="A1471" t="s">
        <v>565</v>
      </c>
      <c r="B1471" t="s">
        <v>210</v>
      </c>
      <c r="C1471" s="4">
        <f t="shared" ref="C1471:M1471" si="927">(0.0328453630665826/(0.0328453630665826+0.350336698877979+0.0822572721273277+0.0181224344560457+0.178561789731549)) * 0.00920936320238809%</f>
        <v>4.568405310779168E-6</v>
      </c>
      <c r="D1471" s="4">
        <f t="shared" si="927"/>
        <v>4.568405310779168E-6</v>
      </c>
      <c r="E1471" s="4">
        <f t="shared" si="927"/>
        <v>4.568405310779168E-6</v>
      </c>
      <c r="F1471" s="4">
        <f t="shared" si="927"/>
        <v>4.568405310779168E-6</v>
      </c>
      <c r="G1471" s="4">
        <f t="shared" si="927"/>
        <v>4.568405310779168E-6</v>
      </c>
      <c r="H1471" s="4">
        <f t="shared" si="927"/>
        <v>4.568405310779168E-6</v>
      </c>
      <c r="I1471" s="4">
        <f t="shared" si="927"/>
        <v>4.568405310779168E-6</v>
      </c>
      <c r="J1471" s="4">
        <f t="shared" si="927"/>
        <v>4.568405310779168E-6</v>
      </c>
      <c r="K1471" s="4">
        <f t="shared" si="927"/>
        <v>4.568405310779168E-6</v>
      </c>
      <c r="L1471" s="4">
        <f t="shared" si="927"/>
        <v>4.568405310779168E-6</v>
      </c>
      <c r="M1471" s="4">
        <f t="shared" si="927"/>
        <v>4.568405310779168E-6</v>
      </c>
      <c r="N1471" t="s">
        <v>242</v>
      </c>
      <c r="O1471" t="s">
        <v>358</v>
      </c>
      <c r="P1471" t="s">
        <v>351</v>
      </c>
      <c r="Q1471" s="4" t="s">
        <v>245</v>
      </c>
    </row>
    <row r="1472" spans="1:17" x14ac:dyDescent="0.25">
      <c r="A1472" t="s">
        <v>565</v>
      </c>
      <c r="B1472" t="s">
        <v>210</v>
      </c>
      <c r="C1472" s="4">
        <f t="shared" ref="C1472:M1472" si="928">(0.350336698877979/(0.0328453630665826+0.350336698877979+0.0822572721273277+0.0181224344560457+0.178561789731549)) * 0.00920936320238809%</f>
        <v>4.8727731597016674E-5</v>
      </c>
      <c r="D1472" s="4">
        <f t="shared" si="928"/>
        <v>4.8727731597016674E-5</v>
      </c>
      <c r="E1472" s="4">
        <f t="shared" si="928"/>
        <v>4.8727731597016674E-5</v>
      </c>
      <c r="F1472" s="4">
        <f t="shared" si="928"/>
        <v>4.8727731597016674E-5</v>
      </c>
      <c r="G1472" s="4">
        <f t="shared" si="928"/>
        <v>4.8727731597016674E-5</v>
      </c>
      <c r="H1472" s="4">
        <f t="shared" si="928"/>
        <v>4.8727731597016674E-5</v>
      </c>
      <c r="I1472" s="4">
        <f t="shared" si="928"/>
        <v>4.8727731597016674E-5</v>
      </c>
      <c r="J1472" s="4">
        <f t="shared" si="928"/>
        <v>4.8727731597016674E-5</v>
      </c>
      <c r="K1472" s="4">
        <f t="shared" si="928"/>
        <v>4.8727731597016674E-5</v>
      </c>
      <c r="L1472" s="4">
        <f t="shared" si="928"/>
        <v>4.8727731597016674E-5</v>
      </c>
      <c r="M1472" s="4">
        <f t="shared" si="928"/>
        <v>4.8727731597016674E-5</v>
      </c>
      <c r="N1472" t="s">
        <v>256</v>
      </c>
      <c r="O1472" t="s">
        <v>356</v>
      </c>
      <c r="P1472" t="s">
        <v>351</v>
      </c>
      <c r="Q1472" s="4" t="s">
        <v>245</v>
      </c>
    </row>
    <row r="1473" spans="1:17" x14ac:dyDescent="0.25">
      <c r="A1473" t="s">
        <v>565</v>
      </c>
      <c r="B1473" t="s">
        <v>210</v>
      </c>
      <c r="C1473" s="4">
        <f t="shared" ref="C1473:M1473" si="929">(0.0822572721273277/(0.0328453630665826+0.350336698877979+0.0822572721273277+0.0181224344560457+0.178561789731549)) * 0.00920936320238809%</f>
        <v>1.1441023138484358E-5</v>
      </c>
      <c r="D1473" s="4">
        <f t="shared" si="929"/>
        <v>1.1441023138484358E-5</v>
      </c>
      <c r="E1473" s="4">
        <f t="shared" si="929"/>
        <v>1.1441023138484358E-5</v>
      </c>
      <c r="F1473" s="4">
        <f t="shared" si="929"/>
        <v>1.1441023138484358E-5</v>
      </c>
      <c r="G1473" s="4">
        <f t="shared" si="929"/>
        <v>1.1441023138484358E-5</v>
      </c>
      <c r="H1473" s="4">
        <f t="shared" si="929"/>
        <v>1.1441023138484358E-5</v>
      </c>
      <c r="I1473" s="4">
        <f t="shared" si="929"/>
        <v>1.1441023138484358E-5</v>
      </c>
      <c r="J1473" s="4">
        <f t="shared" si="929"/>
        <v>1.1441023138484358E-5</v>
      </c>
      <c r="K1473" s="4">
        <f t="shared" si="929"/>
        <v>1.1441023138484358E-5</v>
      </c>
      <c r="L1473" s="4">
        <f t="shared" si="929"/>
        <v>1.1441023138484358E-5</v>
      </c>
      <c r="M1473" s="4">
        <f t="shared" si="929"/>
        <v>1.1441023138484358E-5</v>
      </c>
      <c r="N1473" t="s">
        <v>256</v>
      </c>
      <c r="O1473" t="s">
        <v>353</v>
      </c>
      <c r="P1473" t="s">
        <v>351</v>
      </c>
      <c r="Q1473" s="4" t="s">
        <v>245</v>
      </c>
    </row>
    <row r="1474" spans="1:17" x14ac:dyDescent="0.25">
      <c r="A1474" t="s">
        <v>565</v>
      </c>
      <c r="B1474" t="s">
        <v>210</v>
      </c>
      <c r="C1474" s="4">
        <f t="shared" ref="C1474:M1474" si="930">(0.0181224344560457/(0.0328453630665826+0.350336698877979+0.0822572721273277+0.0181224344560457+0.178561789731549)) * 0.00920936320238809%</f>
        <v>2.520618379081919E-6</v>
      </c>
      <c r="D1474" s="4">
        <f t="shared" si="930"/>
        <v>2.520618379081919E-6</v>
      </c>
      <c r="E1474" s="4">
        <f t="shared" si="930"/>
        <v>2.520618379081919E-6</v>
      </c>
      <c r="F1474" s="4">
        <f t="shared" si="930"/>
        <v>2.520618379081919E-6</v>
      </c>
      <c r="G1474" s="4">
        <f t="shared" si="930"/>
        <v>2.520618379081919E-6</v>
      </c>
      <c r="H1474" s="4">
        <f t="shared" si="930"/>
        <v>2.520618379081919E-6</v>
      </c>
      <c r="I1474" s="4">
        <f t="shared" si="930"/>
        <v>2.520618379081919E-6</v>
      </c>
      <c r="J1474" s="4">
        <f t="shared" si="930"/>
        <v>2.520618379081919E-6</v>
      </c>
      <c r="K1474" s="4">
        <f t="shared" si="930"/>
        <v>2.520618379081919E-6</v>
      </c>
      <c r="L1474" s="4">
        <f t="shared" si="930"/>
        <v>2.520618379081919E-6</v>
      </c>
      <c r="M1474" s="4">
        <f t="shared" si="930"/>
        <v>2.520618379081919E-6</v>
      </c>
      <c r="N1474" t="s">
        <v>256</v>
      </c>
      <c r="O1474" t="s">
        <v>280</v>
      </c>
      <c r="P1474" t="s">
        <v>351</v>
      </c>
      <c r="Q1474" s="4" t="s">
        <v>245</v>
      </c>
    </row>
    <row r="1475" spans="1:17" x14ac:dyDescent="0.25">
      <c r="A1475" t="s">
        <v>565</v>
      </c>
      <c r="B1475" t="s">
        <v>210</v>
      </c>
      <c r="C1475" s="4">
        <f t="shared" ref="C1475:M1475" si="931">(0.178561789731549/(0.0328453630665826+0.350336698877979+0.0822572721273277+0.0181224344560457+0.178561789731549)) * 0.00920936320238809%</f>
        <v>2.4835853598518788E-5</v>
      </c>
      <c r="D1475" s="4">
        <f t="shared" si="931"/>
        <v>2.4835853598518788E-5</v>
      </c>
      <c r="E1475" s="4">
        <f t="shared" si="931"/>
        <v>2.4835853598518788E-5</v>
      </c>
      <c r="F1475" s="4">
        <f t="shared" si="931"/>
        <v>2.4835853598518788E-5</v>
      </c>
      <c r="G1475" s="4">
        <f t="shared" si="931"/>
        <v>2.4835853598518788E-5</v>
      </c>
      <c r="H1475" s="4">
        <f t="shared" si="931"/>
        <v>2.4835853598518788E-5</v>
      </c>
      <c r="I1475" s="4">
        <f t="shared" si="931"/>
        <v>2.4835853598518788E-5</v>
      </c>
      <c r="J1475" s="4">
        <f t="shared" si="931"/>
        <v>2.4835853598518788E-5</v>
      </c>
      <c r="K1475" s="4">
        <f t="shared" si="931"/>
        <v>2.4835853598518788E-5</v>
      </c>
      <c r="L1475" s="4">
        <f t="shared" si="931"/>
        <v>2.4835853598518788E-5</v>
      </c>
      <c r="M1475" s="4">
        <f t="shared" si="931"/>
        <v>2.4835853598518788E-5</v>
      </c>
      <c r="N1475" t="s">
        <v>256</v>
      </c>
      <c r="O1475" t="s">
        <v>354</v>
      </c>
      <c r="P1475" t="s">
        <v>351</v>
      </c>
      <c r="Q1475" s="4" t="s">
        <v>245</v>
      </c>
    </row>
    <row r="1476" spans="1:17" x14ac:dyDescent="0.25">
      <c r="A1476" t="s">
        <v>565</v>
      </c>
      <c r="B1476" t="s">
        <v>180</v>
      </c>
      <c r="C1476" s="4">
        <f t="shared" ref="C1476:M1476" si="932">(0.0328453630665826/(0.0328453630665826+0.350336698877979+0.0822572721273277+0.0181224344560457+0.178561789731549)) * 2.89860334307725%</f>
        <v>1.4378838813657131E-3</v>
      </c>
      <c r="D1476" s="4">
        <f t="shared" si="932"/>
        <v>1.4378838813657131E-3</v>
      </c>
      <c r="E1476" s="4">
        <f t="shared" si="932"/>
        <v>1.4378838813657131E-3</v>
      </c>
      <c r="F1476" s="4">
        <f t="shared" si="932"/>
        <v>1.4378838813657131E-3</v>
      </c>
      <c r="G1476" s="4">
        <f t="shared" si="932"/>
        <v>1.4378838813657131E-3</v>
      </c>
      <c r="H1476" s="4">
        <f t="shared" si="932"/>
        <v>1.4378838813657131E-3</v>
      </c>
      <c r="I1476" s="4">
        <f t="shared" si="932"/>
        <v>1.4378838813657131E-3</v>
      </c>
      <c r="J1476" s="4">
        <f t="shared" si="932"/>
        <v>1.4378838813657131E-3</v>
      </c>
      <c r="K1476" s="4">
        <f t="shared" si="932"/>
        <v>1.4378838813657131E-3</v>
      </c>
      <c r="L1476" s="4">
        <f t="shared" si="932"/>
        <v>1.4378838813657131E-3</v>
      </c>
      <c r="M1476" s="4">
        <f t="shared" si="932"/>
        <v>1.4378838813657131E-3</v>
      </c>
      <c r="N1476" t="s">
        <v>242</v>
      </c>
      <c r="O1476" t="s">
        <v>358</v>
      </c>
      <c r="P1476" t="s">
        <v>351</v>
      </c>
      <c r="Q1476" s="4" t="s">
        <v>245</v>
      </c>
    </row>
    <row r="1477" spans="1:17" x14ac:dyDescent="0.25">
      <c r="A1477" t="s">
        <v>565</v>
      </c>
      <c r="B1477" t="s">
        <v>180</v>
      </c>
      <c r="C1477" s="4">
        <f t="shared" ref="C1477:M1477" si="933">(0.350336698877979/(0.0328453630665826+0.350336698877979+0.0822572721273277+0.0181224344560457+0.178561789731549)) * 2.89860334307725%</f>
        <v>1.5336822167145908E-2</v>
      </c>
      <c r="D1477" s="4">
        <f t="shared" si="933"/>
        <v>1.5336822167145908E-2</v>
      </c>
      <c r="E1477" s="4">
        <f t="shared" si="933"/>
        <v>1.5336822167145908E-2</v>
      </c>
      <c r="F1477" s="4">
        <f t="shared" si="933"/>
        <v>1.5336822167145908E-2</v>
      </c>
      <c r="G1477" s="4">
        <f t="shared" si="933"/>
        <v>1.5336822167145908E-2</v>
      </c>
      <c r="H1477" s="4">
        <f t="shared" si="933"/>
        <v>1.5336822167145908E-2</v>
      </c>
      <c r="I1477" s="4">
        <f t="shared" si="933"/>
        <v>1.5336822167145908E-2</v>
      </c>
      <c r="J1477" s="4">
        <f t="shared" si="933"/>
        <v>1.5336822167145908E-2</v>
      </c>
      <c r="K1477" s="4">
        <f t="shared" si="933"/>
        <v>1.5336822167145908E-2</v>
      </c>
      <c r="L1477" s="4">
        <f t="shared" si="933"/>
        <v>1.5336822167145908E-2</v>
      </c>
      <c r="M1477" s="4">
        <f t="shared" si="933"/>
        <v>1.5336822167145908E-2</v>
      </c>
      <c r="N1477" t="s">
        <v>256</v>
      </c>
      <c r="O1477" t="s">
        <v>356</v>
      </c>
      <c r="P1477" t="s">
        <v>351</v>
      </c>
      <c r="Q1477" s="4" t="s">
        <v>245</v>
      </c>
    </row>
    <row r="1478" spans="1:17" x14ac:dyDescent="0.25">
      <c r="A1478" t="s">
        <v>565</v>
      </c>
      <c r="B1478" t="s">
        <v>180</v>
      </c>
      <c r="C1478" s="4">
        <f t="shared" ref="C1478:M1478" si="934">(0.0822572721273277/(0.0328453630665826+0.350336698877979+0.0822572721273277+0.0181224344560457+0.178561789731549)) * 2.89860334307725%</f>
        <v>3.6010077123286221E-3</v>
      </c>
      <c r="D1478" s="4">
        <f t="shared" si="934"/>
        <v>3.6010077123286221E-3</v>
      </c>
      <c r="E1478" s="4">
        <f t="shared" si="934"/>
        <v>3.6010077123286221E-3</v>
      </c>
      <c r="F1478" s="4">
        <f t="shared" si="934"/>
        <v>3.6010077123286221E-3</v>
      </c>
      <c r="G1478" s="4">
        <f t="shared" si="934"/>
        <v>3.6010077123286221E-3</v>
      </c>
      <c r="H1478" s="4">
        <f t="shared" si="934"/>
        <v>3.6010077123286221E-3</v>
      </c>
      <c r="I1478" s="4">
        <f t="shared" si="934"/>
        <v>3.6010077123286221E-3</v>
      </c>
      <c r="J1478" s="4">
        <f t="shared" si="934"/>
        <v>3.6010077123286221E-3</v>
      </c>
      <c r="K1478" s="4">
        <f t="shared" si="934"/>
        <v>3.6010077123286221E-3</v>
      </c>
      <c r="L1478" s="4">
        <f t="shared" si="934"/>
        <v>3.6010077123286221E-3</v>
      </c>
      <c r="M1478" s="4">
        <f t="shared" si="934"/>
        <v>3.6010077123286221E-3</v>
      </c>
      <c r="N1478" t="s">
        <v>256</v>
      </c>
      <c r="O1478" t="s">
        <v>353</v>
      </c>
      <c r="P1478" t="s">
        <v>351</v>
      </c>
      <c r="Q1478" s="4" t="s">
        <v>245</v>
      </c>
    </row>
    <row r="1479" spans="1:17" x14ac:dyDescent="0.25">
      <c r="A1479" t="s">
        <v>565</v>
      </c>
      <c r="B1479" t="s">
        <v>180</v>
      </c>
      <c r="C1479" s="4">
        <f t="shared" ref="C1479:M1479" si="935">(0.0181224344560457/(0.0328453630665826+0.350336698877979+0.0822572721273277+0.0181224344560457+0.178561789731549)) * 2.89860334307725%</f>
        <v>7.9335266724350848E-4</v>
      </c>
      <c r="D1479" s="4">
        <f t="shared" si="935"/>
        <v>7.9335266724350848E-4</v>
      </c>
      <c r="E1479" s="4">
        <f t="shared" si="935"/>
        <v>7.9335266724350848E-4</v>
      </c>
      <c r="F1479" s="4">
        <f t="shared" si="935"/>
        <v>7.9335266724350848E-4</v>
      </c>
      <c r="G1479" s="4">
        <f t="shared" si="935"/>
        <v>7.9335266724350848E-4</v>
      </c>
      <c r="H1479" s="4">
        <f t="shared" si="935"/>
        <v>7.9335266724350848E-4</v>
      </c>
      <c r="I1479" s="4">
        <f t="shared" si="935"/>
        <v>7.9335266724350848E-4</v>
      </c>
      <c r="J1479" s="4">
        <f t="shared" si="935"/>
        <v>7.9335266724350848E-4</v>
      </c>
      <c r="K1479" s="4">
        <f t="shared" si="935"/>
        <v>7.9335266724350848E-4</v>
      </c>
      <c r="L1479" s="4">
        <f t="shared" si="935"/>
        <v>7.9335266724350848E-4</v>
      </c>
      <c r="M1479" s="4">
        <f t="shared" si="935"/>
        <v>7.9335266724350848E-4</v>
      </c>
      <c r="N1479" t="s">
        <v>256</v>
      </c>
      <c r="O1479" t="s">
        <v>280</v>
      </c>
      <c r="P1479" t="s">
        <v>351</v>
      </c>
      <c r="Q1479" s="4" t="s">
        <v>245</v>
      </c>
    </row>
    <row r="1480" spans="1:17" x14ac:dyDescent="0.25">
      <c r="A1480" t="s">
        <v>565</v>
      </c>
      <c r="B1480" t="s">
        <v>180</v>
      </c>
      <c r="C1480" s="4">
        <f t="shared" ref="C1480:M1480" si="936">(0.178561789731549/(0.0328453630665826+0.350336698877979+0.0822572721273277+0.0181224344560457+0.178561789731549)) * 2.89860334307725%</f>
        <v>7.8169670026887513E-3</v>
      </c>
      <c r="D1480" s="4">
        <f t="shared" si="936"/>
        <v>7.8169670026887513E-3</v>
      </c>
      <c r="E1480" s="4">
        <f t="shared" si="936"/>
        <v>7.8169670026887513E-3</v>
      </c>
      <c r="F1480" s="4">
        <f t="shared" si="936"/>
        <v>7.8169670026887513E-3</v>
      </c>
      <c r="G1480" s="4">
        <f t="shared" si="936"/>
        <v>7.8169670026887513E-3</v>
      </c>
      <c r="H1480" s="4">
        <f t="shared" si="936"/>
        <v>7.8169670026887513E-3</v>
      </c>
      <c r="I1480" s="4">
        <f t="shared" si="936"/>
        <v>7.8169670026887513E-3</v>
      </c>
      <c r="J1480" s="4">
        <f t="shared" si="936"/>
        <v>7.8169670026887513E-3</v>
      </c>
      <c r="K1480" s="4">
        <f t="shared" si="936"/>
        <v>7.8169670026887513E-3</v>
      </c>
      <c r="L1480" s="4">
        <f t="shared" si="936"/>
        <v>7.8169670026887513E-3</v>
      </c>
      <c r="M1480" s="4">
        <f t="shared" si="936"/>
        <v>7.8169670026887513E-3</v>
      </c>
      <c r="N1480" t="s">
        <v>256</v>
      </c>
      <c r="O1480" t="s">
        <v>354</v>
      </c>
      <c r="P1480" t="s">
        <v>351</v>
      </c>
      <c r="Q1480" s="4" t="s">
        <v>245</v>
      </c>
    </row>
    <row r="1481" spans="1:17" x14ac:dyDescent="0.25">
      <c r="A1481" t="s">
        <v>565</v>
      </c>
      <c r="B1481" t="s">
        <v>114</v>
      </c>
      <c r="C1481" s="4">
        <f t="shared" ref="C1481:M1481" si="937">(0.0328453630665826/(0.0328453630665826+0.350336698877979+0.0822572721273277+0.0181224344560457+0.178561789731549)) * 0.329625242846445%</f>
        <v>1.6351420580264288E-4</v>
      </c>
      <c r="D1481" s="4">
        <f t="shared" si="937"/>
        <v>1.6351420580264288E-4</v>
      </c>
      <c r="E1481" s="4">
        <f t="shared" si="937"/>
        <v>1.6351420580264288E-4</v>
      </c>
      <c r="F1481" s="4">
        <f t="shared" si="937"/>
        <v>1.6351420580264288E-4</v>
      </c>
      <c r="G1481" s="4">
        <f t="shared" si="937"/>
        <v>1.6351420580264288E-4</v>
      </c>
      <c r="H1481" s="4">
        <f t="shared" si="937"/>
        <v>1.6351420580264288E-4</v>
      </c>
      <c r="I1481" s="4">
        <f t="shared" si="937"/>
        <v>1.6351420580264288E-4</v>
      </c>
      <c r="J1481" s="4">
        <f t="shared" si="937"/>
        <v>1.6351420580264288E-4</v>
      </c>
      <c r="K1481" s="4">
        <f t="shared" si="937"/>
        <v>1.6351420580264288E-4</v>
      </c>
      <c r="L1481" s="4">
        <f t="shared" si="937"/>
        <v>1.6351420580264288E-4</v>
      </c>
      <c r="M1481" s="4">
        <f t="shared" si="937"/>
        <v>1.6351420580264288E-4</v>
      </c>
      <c r="N1481" t="s">
        <v>242</v>
      </c>
      <c r="O1481" t="s">
        <v>358</v>
      </c>
      <c r="P1481" t="s">
        <v>351</v>
      </c>
      <c r="Q1481" s="4" t="s">
        <v>245</v>
      </c>
    </row>
    <row r="1482" spans="1:17" x14ac:dyDescent="0.25">
      <c r="A1482" t="s">
        <v>565</v>
      </c>
      <c r="B1482" t="s">
        <v>114</v>
      </c>
      <c r="C1482" s="4">
        <f t="shared" ref="C1482:M1482" si="938">(0.350336698877979/(0.0328453630665826+0.350336698877979+0.0822572721273277+0.0181224344560457+0.178561789731549)) * 0.329625242846445%</f>
        <v>1.7440826263490168E-3</v>
      </c>
      <c r="D1482" s="4">
        <f t="shared" si="938"/>
        <v>1.7440826263490168E-3</v>
      </c>
      <c r="E1482" s="4">
        <f t="shared" si="938"/>
        <v>1.7440826263490168E-3</v>
      </c>
      <c r="F1482" s="4">
        <f t="shared" si="938"/>
        <v>1.7440826263490168E-3</v>
      </c>
      <c r="G1482" s="4">
        <f t="shared" si="938"/>
        <v>1.7440826263490168E-3</v>
      </c>
      <c r="H1482" s="4">
        <f t="shared" si="938"/>
        <v>1.7440826263490168E-3</v>
      </c>
      <c r="I1482" s="4">
        <f t="shared" si="938"/>
        <v>1.7440826263490168E-3</v>
      </c>
      <c r="J1482" s="4">
        <f t="shared" si="938"/>
        <v>1.7440826263490168E-3</v>
      </c>
      <c r="K1482" s="4">
        <f t="shared" si="938"/>
        <v>1.7440826263490168E-3</v>
      </c>
      <c r="L1482" s="4">
        <f t="shared" si="938"/>
        <v>1.7440826263490168E-3</v>
      </c>
      <c r="M1482" s="4">
        <f t="shared" si="938"/>
        <v>1.7440826263490168E-3</v>
      </c>
      <c r="N1482" t="s">
        <v>256</v>
      </c>
      <c r="O1482" t="s">
        <v>356</v>
      </c>
      <c r="P1482" t="s">
        <v>351</v>
      </c>
      <c r="Q1482" s="4" t="s">
        <v>245</v>
      </c>
    </row>
    <row r="1483" spans="1:17" x14ac:dyDescent="0.25">
      <c r="A1483" t="s">
        <v>565</v>
      </c>
      <c r="B1483" t="s">
        <v>114</v>
      </c>
      <c r="C1483" s="4">
        <f t="shared" ref="C1483:M1483" si="939">(0.0822572721273277/(0.0328453630665826+0.350336698877979+0.0822572721273277+0.0181224344560457+0.178561789731549)) * 0.329625242846445%</f>
        <v>4.0950171554280491E-4</v>
      </c>
      <c r="D1483" s="4">
        <f t="shared" si="939"/>
        <v>4.0950171554280491E-4</v>
      </c>
      <c r="E1483" s="4">
        <f t="shared" si="939"/>
        <v>4.0950171554280491E-4</v>
      </c>
      <c r="F1483" s="4">
        <f t="shared" si="939"/>
        <v>4.0950171554280491E-4</v>
      </c>
      <c r="G1483" s="4">
        <f t="shared" si="939"/>
        <v>4.0950171554280491E-4</v>
      </c>
      <c r="H1483" s="4">
        <f t="shared" si="939"/>
        <v>4.0950171554280491E-4</v>
      </c>
      <c r="I1483" s="4">
        <f t="shared" si="939"/>
        <v>4.0950171554280491E-4</v>
      </c>
      <c r="J1483" s="4">
        <f t="shared" si="939"/>
        <v>4.0950171554280491E-4</v>
      </c>
      <c r="K1483" s="4">
        <f t="shared" si="939"/>
        <v>4.0950171554280491E-4</v>
      </c>
      <c r="L1483" s="4">
        <f t="shared" si="939"/>
        <v>4.0950171554280491E-4</v>
      </c>
      <c r="M1483" s="4">
        <f t="shared" si="939"/>
        <v>4.0950171554280491E-4</v>
      </c>
      <c r="N1483" t="s">
        <v>256</v>
      </c>
      <c r="O1483" t="s">
        <v>353</v>
      </c>
      <c r="P1483" t="s">
        <v>351</v>
      </c>
      <c r="Q1483" s="4" t="s">
        <v>245</v>
      </c>
    </row>
    <row r="1484" spans="1:17" x14ac:dyDescent="0.25">
      <c r="A1484" t="s">
        <v>565</v>
      </c>
      <c r="B1484" t="s">
        <v>114</v>
      </c>
      <c r="C1484" s="4">
        <f t="shared" ref="C1484:M1484" si="940">(0.0181224344560457/(0.0328453630665826+0.350336698877979+0.0822572721273277+0.0181224344560457+0.178561789731549)) * 0.329625242846445%</f>
        <v>9.021898985508998E-5</v>
      </c>
      <c r="D1484" s="4">
        <f t="shared" si="940"/>
        <v>9.021898985508998E-5</v>
      </c>
      <c r="E1484" s="4">
        <f t="shared" si="940"/>
        <v>9.021898985508998E-5</v>
      </c>
      <c r="F1484" s="4">
        <f t="shared" si="940"/>
        <v>9.021898985508998E-5</v>
      </c>
      <c r="G1484" s="4">
        <f t="shared" si="940"/>
        <v>9.021898985508998E-5</v>
      </c>
      <c r="H1484" s="4">
        <f t="shared" si="940"/>
        <v>9.021898985508998E-5</v>
      </c>
      <c r="I1484" s="4">
        <f t="shared" si="940"/>
        <v>9.021898985508998E-5</v>
      </c>
      <c r="J1484" s="4">
        <f t="shared" si="940"/>
        <v>9.021898985508998E-5</v>
      </c>
      <c r="K1484" s="4">
        <f t="shared" si="940"/>
        <v>9.021898985508998E-5</v>
      </c>
      <c r="L1484" s="4">
        <f t="shared" si="940"/>
        <v>9.021898985508998E-5</v>
      </c>
      <c r="M1484" s="4">
        <f t="shared" si="940"/>
        <v>9.021898985508998E-5</v>
      </c>
      <c r="N1484" t="s">
        <v>256</v>
      </c>
      <c r="O1484" t="s">
        <v>280</v>
      </c>
      <c r="P1484" t="s">
        <v>351</v>
      </c>
      <c r="Q1484" s="4" t="s">
        <v>245</v>
      </c>
    </row>
    <row r="1485" spans="1:17" x14ac:dyDescent="0.25">
      <c r="A1485" t="s">
        <v>565</v>
      </c>
      <c r="B1485" t="s">
        <v>114</v>
      </c>
      <c r="C1485" s="4">
        <f t="shared" ref="C1485:M1485" si="941">(0.178561789731549/(0.0328453630665826+0.350336698877979+0.0822572721273277+0.0181224344560457+0.178561789731549)) * 0.329625242846445%</f>
        <v>8.8893489091489554E-4</v>
      </c>
      <c r="D1485" s="4">
        <f t="shared" si="941"/>
        <v>8.8893489091489554E-4</v>
      </c>
      <c r="E1485" s="4">
        <f t="shared" si="941"/>
        <v>8.8893489091489554E-4</v>
      </c>
      <c r="F1485" s="4">
        <f t="shared" si="941"/>
        <v>8.8893489091489554E-4</v>
      </c>
      <c r="G1485" s="4">
        <f t="shared" si="941"/>
        <v>8.8893489091489554E-4</v>
      </c>
      <c r="H1485" s="4">
        <f t="shared" si="941"/>
        <v>8.8893489091489554E-4</v>
      </c>
      <c r="I1485" s="4">
        <f t="shared" si="941"/>
        <v>8.8893489091489554E-4</v>
      </c>
      <c r="J1485" s="4">
        <f t="shared" si="941"/>
        <v>8.8893489091489554E-4</v>
      </c>
      <c r="K1485" s="4">
        <f t="shared" si="941"/>
        <v>8.8893489091489554E-4</v>
      </c>
      <c r="L1485" s="4">
        <f t="shared" si="941"/>
        <v>8.8893489091489554E-4</v>
      </c>
      <c r="M1485" s="4">
        <f t="shared" si="941"/>
        <v>8.8893489091489554E-4</v>
      </c>
      <c r="N1485" t="s">
        <v>256</v>
      </c>
      <c r="O1485" t="s">
        <v>354</v>
      </c>
      <c r="P1485" t="s">
        <v>351</v>
      </c>
      <c r="Q1485" s="4" t="s">
        <v>245</v>
      </c>
    </row>
    <row r="1486" spans="1:17" x14ac:dyDescent="0.25">
      <c r="A1486" t="s">
        <v>565</v>
      </c>
      <c r="B1486" t="s">
        <v>115</v>
      </c>
      <c r="C1486" s="4">
        <f t="shared" ref="C1486:M1486" si="942">(0.0328453630665826/(0.0328453630665826+0.350336698877979+0.0822572721273277+0.0181224344560457+0.178561789731549)) * 0.0174296395906363%</f>
        <v>8.6461632928302682E-6</v>
      </c>
      <c r="D1486" s="4">
        <f t="shared" si="942"/>
        <v>8.6461632928302682E-6</v>
      </c>
      <c r="E1486" s="4">
        <f t="shared" si="942"/>
        <v>8.6461632928302682E-6</v>
      </c>
      <c r="F1486" s="4">
        <f t="shared" si="942"/>
        <v>8.6461632928302682E-6</v>
      </c>
      <c r="G1486" s="4">
        <f t="shared" si="942"/>
        <v>8.6461632928302682E-6</v>
      </c>
      <c r="H1486" s="4">
        <f t="shared" si="942"/>
        <v>8.6461632928302682E-6</v>
      </c>
      <c r="I1486" s="4">
        <f t="shared" si="942"/>
        <v>8.6461632928302682E-6</v>
      </c>
      <c r="J1486" s="4">
        <f t="shared" si="942"/>
        <v>8.6461632928302682E-6</v>
      </c>
      <c r="K1486" s="4">
        <f t="shared" si="942"/>
        <v>8.6461632928302682E-6</v>
      </c>
      <c r="L1486" s="4">
        <f t="shared" si="942"/>
        <v>8.6461632928302682E-6</v>
      </c>
      <c r="M1486" s="4">
        <f t="shared" si="942"/>
        <v>8.6461632928302682E-6</v>
      </c>
      <c r="N1486" t="s">
        <v>242</v>
      </c>
      <c r="O1486" t="s">
        <v>358</v>
      </c>
      <c r="P1486" t="s">
        <v>351</v>
      </c>
      <c r="Q1486" s="4" t="s">
        <v>245</v>
      </c>
    </row>
    <row r="1487" spans="1:17" x14ac:dyDescent="0.25">
      <c r="A1487" t="s">
        <v>565</v>
      </c>
      <c r="B1487" t="s">
        <v>115</v>
      </c>
      <c r="C1487" s="4">
        <f t="shared" ref="C1487:M1487" si="943">(0.350336698877979/(0.0328453630665826+0.350336698877979+0.0822572721273277+0.0181224344560457+0.178561789731549)) * 0.0174296395906363%</f>
        <v>9.222209843836179E-5</v>
      </c>
      <c r="D1487" s="4">
        <f t="shared" si="943"/>
        <v>9.222209843836179E-5</v>
      </c>
      <c r="E1487" s="4">
        <f t="shared" si="943"/>
        <v>9.222209843836179E-5</v>
      </c>
      <c r="F1487" s="4">
        <f t="shared" si="943"/>
        <v>9.222209843836179E-5</v>
      </c>
      <c r="G1487" s="4">
        <f t="shared" si="943"/>
        <v>9.222209843836179E-5</v>
      </c>
      <c r="H1487" s="4">
        <f t="shared" si="943"/>
        <v>9.222209843836179E-5</v>
      </c>
      <c r="I1487" s="4">
        <f t="shared" si="943"/>
        <v>9.222209843836179E-5</v>
      </c>
      <c r="J1487" s="4">
        <f t="shared" si="943"/>
        <v>9.222209843836179E-5</v>
      </c>
      <c r="K1487" s="4">
        <f t="shared" si="943"/>
        <v>9.222209843836179E-5</v>
      </c>
      <c r="L1487" s="4">
        <f t="shared" si="943"/>
        <v>9.222209843836179E-5</v>
      </c>
      <c r="M1487" s="4">
        <f t="shared" si="943"/>
        <v>9.222209843836179E-5</v>
      </c>
      <c r="N1487" t="s">
        <v>256</v>
      </c>
      <c r="O1487" t="s">
        <v>356</v>
      </c>
      <c r="P1487" t="s">
        <v>351</v>
      </c>
      <c r="Q1487" s="4" t="s">
        <v>245</v>
      </c>
    </row>
    <row r="1488" spans="1:17" x14ac:dyDescent="0.25">
      <c r="A1488" t="s">
        <v>565</v>
      </c>
      <c r="B1488" t="s">
        <v>115</v>
      </c>
      <c r="C1488" s="4">
        <f t="shared" ref="C1488:M1488" si="944">(0.0822572721273277/(0.0328453630665826+0.350336698877979+0.0822572721273277+0.0181224344560457+0.178561789731549)) * 0.0174296395906363%</f>
        <v>2.1653278893398726E-5</v>
      </c>
      <c r="D1488" s="4">
        <f t="shared" si="944"/>
        <v>2.1653278893398726E-5</v>
      </c>
      <c r="E1488" s="4">
        <f t="shared" si="944"/>
        <v>2.1653278893398726E-5</v>
      </c>
      <c r="F1488" s="4">
        <f t="shared" si="944"/>
        <v>2.1653278893398726E-5</v>
      </c>
      <c r="G1488" s="4">
        <f t="shared" si="944"/>
        <v>2.1653278893398726E-5</v>
      </c>
      <c r="H1488" s="4">
        <f t="shared" si="944"/>
        <v>2.1653278893398726E-5</v>
      </c>
      <c r="I1488" s="4">
        <f t="shared" si="944"/>
        <v>2.1653278893398726E-5</v>
      </c>
      <c r="J1488" s="4">
        <f t="shared" si="944"/>
        <v>2.1653278893398726E-5</v>
      </c>
      <c r="K1488" s="4">
        <f t="shared" si="944"/>
        <v>2.1653278893398726E-5</v>
      </c>
      <c r="L1488" s="4">
        <f t="shared" si="944"/>
        <v>2.1653278893398726E-5</v>
      </c>
      <c r="M1488" s="4">
        <f t="shared" si="944"/>
        <v>2.1653278893398726E-5</v>
      </c>
      <c r="N1488" t="s">
        <v>256</v>
      </c>
      <c r="O1488" t="s">
        <v>353</v>
      </c>
      <c r="P1488" t="s">
        <v>351</v>
      </c>
      <c r="Q1488" s="4" t="s">
        <v>245</v>
      </c>
    </row>
    <row r="1489" spans="1:18" x14ac:dyDescent="0.25">
      <c r="A1489" t="s">
        <v>565</v>
      </c>
      <c r="B1489" t="s">
        <v>115</v>
      </c>
      <c r="C1489" s="4">
        <f t="shared" ref="C1489:M1489" si="945">(0.0181224344560457/(0.0328453630665826+0.350336698877979+0.0822572721273277+0.0181224344560457+0.178561789731549)) * 0.0174296395906363%</f>
        <v>4.7705220141105165E-6</v>
      </c>
      <c r="D1489" s="4">
        <f t="shared" si="945"/>
        <v>4.7705220141105165E-6</v>
      </c>
      <c r="E1489" s="4">
        <f t="shared" si="945"/>
        <v>4.7705220141105165E-6</v>
      </c>
      <c r="F1489" s="4">
        <f t="shared" si="945"/>
        <v>4.7705220141105165E-6</v>
      </c>
      <c r="G1489" s="4">
        <f t="shared" si="945"/>
        <v>4.7705220141105165E-6</v>
      </c>
      <c r="H1489" s="4">
        <f t="shared" si="945"/>
        <v>4.7705220141105165E-6</v>
      </c>
      <c r="I1489" s="4">
        <f t="shared" si="945"/>
        <v>4.7705220141105165E-6</v>
      </c>
      <c r="J1489" s="4">
        <f t="shared" si="945"/>
        <v>4.7705220141105165E-6</v>
      </c>
      <c r="K1489" s="4">
        <f t="shared" si="945"/>
        <v>4.7705220141105165E-6</v>
      </c>
      <c r="L1489" s="4">
        <f t="shared" si="945"/>
        <v>4.7705220141105165E-6</v>
      </c>
      <c r="M1489" s="4">
        <f t="shared" si="945"/>
        <v>4.7705220141105165E-6</v>
      </c>
      <c r="N1489" t="s">
        <v>256</v>
      </c>
      <c r="O1489" t="s">
        <v>280</v>
      </c>
      <c r="P1489" t="s">
        <v>351</v>
      </c>
      <c r="Q1489" s="4" t="s">
        <v>245</v>
      </c>
    </row>
    <row r="1490" spans="1:18" x14ac:dyDescent="0.25">
      <c r="A1490" t="s">
        <v>565</v>
      </c>
      <c r="B1490" t="s">
        <v>115</v>
      </c>
      <c r="C1490" s="4">
        <f t="shared" ref="C1490:M1490" si="946">(0.178561789731549/(0.0328453630665826+0.350336698877979+0.0822572721273277+0.0181224344560457+0.178561789731549)) * 0.0174296395906363%</f>
        <v>4.700433326766171E-5</v>
      </c>
      <c r="D1490" s="4">
        <f t="shared" si="946"/>
        <v>4.700433326766171E-5</v>
      </c>
      <c r="E1490" s="4">
        <f t="shared" si="946"/>
        <v>4.700433326766171E-5</v>
      </c>
      <c r="F1490" s="4">
        <f t="shared" si="946"/>
        <v>4.700433326766171E-5</v>
      </c>
      <c r="G1490" s="4">
        <f t="shared" si="946"/>
        <v>4.700433326766171E-5</v>
      </c>
      <c r="H1490" s="4">
        <f t="shared" si="946"/>
        <v>4.700433326766171E-5</v>
      </c>
      <c r="I1490" s="4">
        <f t="shared" si="946"/>
        <v>4.700433326766171E-5</v>
      </c>
      <c r="J1490" s="4">
        <f t="shared" si="946"/>
        <v>4.700433326766171E-5</v>
      </c>
      <c r="K1490" s="4">
        <f t="shared" si="946"/>
        <v>4.700433326766171E-5</v>
      </c>
      <c r="L1490" s="4">
        <f t="shared" si="946"/>
        <v>4.700433326766171E-5</v>
      </c>
      <c r="M1490" s="4">
        <f t="shared" si="946"/>
        <v>4.700433326766171E-5</v>
      </c>
      <c r="N1490" t="s">
        <v>256</v>
      </c>
      <c r="O1490" t="s">
        <v>354</v>
      </c>
      <c r="P1490" t="s">
        <v>351</v>
      </c>
      <c r="Q1490" s="4" t="s">
        <v>245</v>
      </c>
    </row>
    <row r="1491" spans="1:18" x14ac:dyDescent="0.25">
      <c r="A1491" t="s">
        <v>565</v>
      </c>
      <c r="B1491" t="s">
        <v>143</v>
      </c>
      <c r="C1491" s="4">
        <f t="shared" ref="C1491:M1491" si="947">(0.0328453630665826/(0.0328453630665826+0.350336698877979+0.0822572721273277+0.0181224344560457+0.178561789731549)) * 0.126168878974433%</f>
        <v>6.2587451932875158E-5</v>
      </c>
      <c r="D1491" s="4">
        <f t="shared" si="947"/>
        <v>6.2587451932875158E-5</v>
      </c>
      <c r="E1491" s="4">
        <f t="shared" si="947"/>
        <v>6.2587451932875158E-5</v>
      </c>
      <c r="F1491" s="4">
        <f t="shared" si="947"/>
        <v>6.2587451932875158E-5</v>
      </c>
      <c r="G1491" s="4">
        <f t="shared" si="947"/>
        <v>6.2587451932875158E-5</v>
      </c>
      <c r="H1491" s="4">
        <f t="shared" si="947"/>
        <v>6.2587451932875158E-5</v>
      </c>
      <c r="I1491" s="4">
        <f t="shared" si="947"/>
        <v>6.2587451932875158E-5</v>
      </c>
      <c r="J1491" s="4">
        <f t="shared" si="947"/>
        <v>6.2587451932875158E-5</v>
      </c>
      <c r="K1491" s="4">
        <f t="shared" si="947"/>
        <v>6.2587451932875158E-5</v>
      </c>
      <c r="L1491" s="4">
        <f t="shared" si="947"/>
        <v>6.2587451932875158E-5</v>
      </c>
      <c r="M1491" s="4">
        <f t="shared" si="947"/>
        <v>6.2587451932875158E-5</v>
      </c>
      <c r="N1491" t="s">
        <v>242</v>
      </c>
      <c r="O1491" t="s">
        <v>358</v>
      </c>
      <c r="P1491" t="s">
        <v>351</v>
      </c>
      <c r="Q1491" s="4" t="s">
        <v>245</v>
      </c>
    </row>
    <row r="1492" spans="1:18" x14ac:dyDescent="0.25">
      <c r="A1492" t="s">
        <v>565</v>
      </c>
      <c r="B1492" t="s">
        <v>143</v>
      </c>
      <c r="C1492" s="4">
        <f t="shared" ref="C1492:M1492" si="948">(0.350336698877979/(0.0328453630665826+0.350336698877979+0.0822572721273277+0.0181224344560457+0.178561789731549)) * 0.126168878974433%</f>
        <v>6.6757311395520018E-4</v>
      </c>
      <c r="D1492" s="4">
        <f t="shared" si="948"/>
        <v>6.6757311395520018E-4</v>
      </c>
      <c r="E1492" s="4">
        <f t="shared" si="948"/>
        <v>6.6757311395520018E-4</v>
      </c>
      <c r="F1492" s="4">
        <f t="shared" si="948"/>
        <v>6.6757311395520018E-4</v>
      </c>
      <c r="G1492" s="4">
        <f t="shared" si="948"/>
        <v>6.6757311395520018E-4</v>
      </c>
      <c r="H1492" s="4">
        <f t="shared" si="948"/>
        <v>6.6757311395520018E-4</v>
      </c>
      <c r="I1492" s="4">
        <f t="shared" si="948"/>
        <v>6.6757311395520018E-4</v>
      </c>
      <c r="J1492" s="4">
        <f t="shared" si="948"/>
        <v>6.6757311395520018E-4</v>
      </c>
      <c r="K1492" s="4">
        <f t="shared" si="948"/>
        <v>6.6757311395520018E-4</v>
      </c>
      <c r="L1492" s="4">
        <f t="shared" si="948"/>
        <v>6.6757311395520018E-4</v>
      </c>
      <c r="M1492" s="4">
        <f t="shared" si="948"/>
        <v>6.6757311395520018E-4</v>
      </c>
      <c r="N1492" t="s">
        <v>256</v>
      </c>
      <c r="O1492" t="s">
        <v>356</v>
      </c>
      <c r="P1492" t="s">
        <v>351</v>
      </c>
      <c r="Q1492" s="4" t="s">
        <v>245</v>
      </c>
    </row>
    <row r="1493" spans="1:18" x14ac:dyDescent="0.25">
      <c r="A1493" t="s">
        <v>565</v>
      </c>
      <c r="B1493" t="s">
        <v>143</v>
      </c>
      <c r="C1493" s="4">
        <f t="shared" ref="C1493:M1493" si="949">(0.0822572721273277/(0.0328453630665826+0.350336698877979+0.0822572721273277+0.0181224344560457+0.178561789731549)) * 0.126168878974433%</f>
        <v>1.5674276624564058E-4</v>
      </c>
      <c r="D1493" s="4">
        <f t="shared" si="949"/>
        <v>1.5674276624564058E-4</v>
      </c>
      <c r="E1493" s="4">
        <f t="shared" si="949"/>
        <v>1.5674276624564058E-4</v>
      </c>
      <c r="F1493" s="4">
        <f t="shared" si="949"/>
        <v>1.5674276624564058E-4</v>
      </c>
      <c r="G1493" s="4">
        <f t="shared" si="949"/>
        <v>1.5674276624564058E-4</v>
      </c>
      <c r="H1493" s="4">
        <f t="shared" si="949"/>
        <v>1.5674276624564058E-4</v>
      </c>
      <c r="I1493" s="4">
        <f t="shared" si="949"/>
        <v>1.5674276624564058E-4</v>
      </c>
      <c r="J1493" s="4">
        <f t="shared" si="949"/>
        <v>1.5674276624564058E-4</v>
      </c>
      <c r="K1493" s="4">
        <f t="shared" si="949"/>
        <v>1.5674276624564058E-4</v>
      </c>
      <c r="L1493" s="4">
        <f t="shared" si="949"/>
        <v>1.5674276624564058E-4</v>
      </c>
      <c r="M1493" s="4">
        <f t="shared" si="949"/>
        <v>1.5674276624564058E-4</v>
      </c>
      <c r="N1493" t="s">
        <v>256</v>
      </c>
      <c r="O1493" t="s">
        <v>353</v>
      </c>
      <c r="P1493" t="s">
        <v>351</v>
      </c>
      <c r="Q1493" s="4" t="s">
        <v>245</v>
      </c>
    </row>
    <row r="1494" spans="1:18" x14ac:dyDescent="0.25">
      <c r="A1494" t="s">
        <v>565</v>
      </c>
      <c r="B1494" t="s">
        <v>143</v>
      </c>
      <c r="C1494" s="4">
        <f t="shared" ref="C1494:M1494" si="950">(0.0181224344560457/(0.0328453630665826+0.350336698877979+0.0822572721273277+0.0181224344560457+0.178561789731549)) * 0.126168878974433%</f>
        <v>3.4532636863388239E-5</v>
      </c>
      <c r="D1494" s="4">
        <f t="shared" si="950"/>
        <v>3.4532636863388239E-5</v>
      </c>
      <c r="E1494" s="4">
        <f t="shared" si="950"/>
        <v>3.4532636863388239E-5</v>
      </c>
      <c r="F1494" s="4">
        <f t="shared" si="950"/>
        <v>3.4532636863388239E-5</v>
      </c>
      <c r="G1494" s="4">
        <f t="shared" si="950"/>
        <v>3.4532636863388239E-5</v>
      </c>
      <c r="H1494" s="4">
        <f t="shared" si="950"/>
        <v>3.4532636863388239E-5</v>
      </c>
      <c r="I1494" s="4">
        <f t="shared" si="950"/>
        <v>3.4532636863388239E-5</v>
      </c>
      <c r="J1494" s="4">
        <f t="shared" si="950"/>
        <v>3.4532636863388239E-5</v>
      </c>
      <c r="K1494" s="4">
        <f t="shared" si="950"/>
        <v>3.4532636863388239E-5</v>
      </c>
      <c r="L1494" s="4">
        <f t="shared" si="950"/>
        <v>3.4532636863388239E-5</v>
      </c>
      <c r="M1494" s="4">
        <f t="shared" si="950"/>
        <v>3.4532636863388239E-5</v>
      </c>
      <c r="N1494" t="s">
        <v>256</v>
      </c>
      <c r="O1494" t="s">
        <v>280</v>
      </c>
      <c r="P1494" t="s">
        <v>351</v>
      </c>
      <c r="Q1494" s="4" t="s">
        <v>245</v>
      </c>
    </row>
    <row r="1495" spans="1:18" x14ac:dyDescent="0.25">
      <c r="A1495" t="s">
        <v>565</v>
      </c>
      <c r="B1495" t="s">
        <v>143</v>
      </c>
      <c r="C1495" s="4">
        <f t="shared" ref="C1495:M1495" si="951">(0.178561789731549/(0.0328453630665826+0.350336698877979+0.0822572721273277+0.0181224344560457+0.178561789731549)) * 0.126168878974433%</f>
        <v>3.4025282074722591E-4</v>
      </c>
      <c r="D1495" s="4">
        <f t="shared" si="951"/>
        <v>3.4025282074722591E-4</v>
      </c>
      <c r="E1495" s="4">
        <f t="shared" si="951"/>
        <v>3.4025282074722591E-4</v>
      </c>
      <c r="F1495" s="4">
        <f t="shared" si="951"/>
        <v>3.4025282074722591E-4</v>
      </c>
      <c r="G1495" s="4">
        <f t="shared" si="951"/>
        <v>3.4025282074722591E-4</v>
      </c>
      <c r="H1495" s="4">
        <f t="shared" si="951"/>
        <v>3.4025282074722591E-4</v>
      </c>
      <c r="I1495" s="4">
        <f t="shared" si="951"/>
        <v>3.4025282074722591E-4</v>
      </c>
      <c r="J1495" s="4">
        <f t="shared" si="951"/>
        <v>3.4025282074722591E-4</v>
      </c>
      <c r="K1495" s="4">
        <f t="shared" si="951"/>
        <v>3.4025282074722591E-4</v>
      </c>
      <c r="L1495" s="4">
        <f t="shared" si="951"/>
        <v>3.4025282074722591E-4</v>
      </c>
      <c r="M1495" s="4">
        <f t="shared" si="951"/>
        <v>3.4025282074722591E-4</v>
      </c>
      <c r="N1495" t="s">
        <v>256</v>
      </c>
      <c r="O1495" t="s">
        <v>354</v>
      </c>
      <c r="P1495" t="s">
        <v>351</v>
      </c>
      <c r="Q1495" s="4" t="s">
        <v>245</v>
      </c>
    </row>
    <row r="1496" spans="1:18" x14ac:dyDescent="0.25">
      <c r="A1496" t="s">
        <v>565</v>
      </c>
      <c r="B1496" t="s">
        <v>158</v>
      </c>
      <c r="C1496" s="4">
        <f t="shared" ref="C1496:M1496" si="952">(0.0328453630665826/(0.0328453630665826+0.350336698877979+0.0822572721273277+0.0181224344560457+0.178561789731549)) * 0.848938037390015%</f>
        <v>4.2112499564891785E-4</v>
      </c>
      <c r="D1496" s="4">
        <f t="shared" si="952"/>
        <v>4.2112499564891785E-4</v>
      </c>
      <c r="E1496" s="4">
        <f t="shared" si="952"/>
        <v>4.2112499564891785E-4</v>
      </c>
      <c r="F1496" s="4">
        <f t="shared" si="952"/>
        <v>4.2112499564891785E-4</v>
      </c>
      <c r="G1496" s="4">
        <f t="shared" si="952"/>
        <v>4.2112499564891785E-4</v>
      </c>
      <c r="H1496" s="4">
        <f t="shared" si="952"/>
        <v>4.2112499564891785E-4</v>
      </c>
      <c r="I1496" s="4">
        <f t="shared" si="952"/>
        <v>4.2112499564891785E-4</v>
      </c>
      <c r="J1496" s="4">
        <f t="shared" si="952"/>
        <v>4.2112499564891785E-4</v>
      </c>
      <c r="K1496" s="4">
        <f t="shared" si="952"/>
        <v>4.2112499564891785E-4</v>
      </c>
      <c r="L1496" s="4">
        <f t="shared" si="952"/>
        <v>4.2112499564891785E-4</v>
      </c>
      <c r="M1496" s="4">
        <f t="shared" si="952"/>
        <v>4.2112499564891785E-4</v>
      </c>
      <c r="N1496" t="s">
        <v>242</v>
      </c>
      <c r="O1496" t="s">
        <v>358</v>
      </c>
      <c r="P1496" t="s">
        <v>351</v>
      </c>
      <c r="Q1496" s="4" t="s">
        <v>245</v>
      </c>
    </row>
    <row r="1497" spans="1:18" x14ac:dyDescent="0.25">
      <c r="A1497" t="s">
        <v>565</v>
      </c>
      <c r="B1497" t="s">
        <v>158</v>
      </c>
      <c r="C1497" s="4">
        <f t="shared" ref="C1497:M1497" si="953">(0.350336698877979/(0.0328453630665826+0.350336698877979+0.0822572721273277+0.0181224344560457+0.178561789731549)) * 0.848938037390015%</f>
        <v>4.4918224984016137E-3</v>
      </c>
      <c r="D1497" s="4">
        <f t="shared" si="953"/>
        <v>4.4918224984016137E-3</v>
      </c>
      <c r="E1497" s="4">
        <f t="shared" si="953"/>
        <v>4.4918224984016137E-3</v>
      </c>
      <c r="F1497" s="4">
        <f t="shared" si="953"/>
        <v>4.4918224984016137E-3</v>
      </c>
      <c r="G1497" s="4">
        <f t="shared" si="953"/>
        <v>4.4918224984016137E-3</v>
      </c>
      <c r="H1497" s="4">
        <f t="shared" si="953"/>
        <v>4.4918224984016137E-3</v>
      </c>
      <c r="I1497" s="4">
        <f t="shared" si="953"/>
        <v>4.4918224984016137E-3</v>
      </c>
      <c r="J1497" s="4">
        <f t="shared" si="953"/>
        <v>4.4918224984016137E-3</v>
      </c>
      <c r="K1497" s="4">
        <f t="shared" si="953"/>
        <v>4.4918224984016137E-3</v>
      </c>
      <c r="L1497" s="4">
        <f t="shared" si="953"/>
        <v>4.4918224984016137E-3</v>
      </c>
      <c r="M1497" s="4">
        <f t="shared" si="953"/>
        <v>4.4918224984016137E-3</v>
      </c>
      <c r="N1497" t="s">
        <v>256</v>
      </c>
      <c r="O1497" t="s">
        <v>356</v>
      </c>
      <c r="P1497" t="s">
        <v>351</v>
      </c>
      <c r="Q1497" s="4" t="s">
        <v>245</v>
      </c>
    </row>
    <row r="1498" spans="1:18" x14ac:dyDescent="0.25">
      <c r="A1498" t="s">
        <v>565</v>
      </c>
      <c r="B1498" t="s">
        <v>158</v>
      </c>
      <c r="C1498" s="4">
        <f t="shared" ref="C1498:M1498" si="954">(0.0822572721273277/(0.0328453630665826+0.350336698877979+0.0822572721273277+0.0181224344560457+0.178561789731549)) * 0.848938037390015%</f>
        <v>1.0546570393053934E-3</v>
      </c>
      <c r="D1498" s="4">
        <f t="shared" si="954"/>
        <v>1.0546570393053934E-3</v>
      </c>
      <c r="E1498" s="4">
        <f t="shared" si="954"/>
        <v>1.0546570393053934E-3</v>
      </c>
      <c r="F1498" s="4">
        <f t="shared" si="954"/>
        <v>1.0546570393053934E-3</v>
      </c>
      <c r="G1498" s="4">
        <f t="shared" si="954"/>
        <v>1.0546570393053934E-3</v>
      </c>
      <c r="H1498" s="4">
        <f t="shared" si="954"/>
        <v>1.0546570393053934E-3</v>
      </c>
      <c r="I1498" s="4">
        <f t="shared" si="954"/>
        <v>1.0546570393053934E-3</v>
      </c>
      <c r="J1498" s="4">
        <f t="shared" si="954"/>
        <v>1.0546570393053934E-3</v>
      </c>
      <c r="K1498" s="4">
        <f t="shared" si="954"/>
        <v>1.0546570393053934E-3</v>
      </c>
      <c r="L1498" s="4">
        <f t="shared" si="954"/>
        <v>1.0546570393053934E-3</v>
      </c>
      <c r="M1498" s="4">
        <f t="shared" si="954"/>
        <v>1.0546570393053934E-3</v>
      </c>
      <c r="N1498" t="s">
        <v>256</v>
      </c>
      <c r="O1498" t="s">
        <v>353</v>
      </c>
      <c r="P1498" t="s">
        <v>351</v>
      </c>
      <c r="Q1498" s="4" t="s">
        <v>245</v>
      </c>
    </row>
    <row r="1499" spans="1:18" x14ac:dyDescent="0.25">
      <c r="A1499" t="s">
        <v>565</v>
      </c>
      <c r="B1499" t="s">
        <v>158</v>
      </c>
      <c r="C1499" s="4">
        <f t="shared" ref="C1499:M1499" si="955">(0.0181224344560457/(0.0328453630665826+0.350336698877979+0.0822572721273277+0.0181224344560457+0.178561789731549)) * 0.848938037390015%</f>
        <v>2.3235578538070021E-4</v>
      </c>
      <c r="D1499" s="4">
        <f t="shared" si="955"/>
        <v>2.3235578538070021E-4</v>
      </c>
      <c r="E1499" s="4">
        <f t="shared" si="955"/>
        <v>2.3235578538070021E-4</v>
      </c>
      <c r="F1499" s="4">
        <f t="shared" si="955"/>
        <v>2.3235578538070021E-4</v>
      </c>
      <c r="G1499" s="4">
        <f t="shared" si="955"/>
        <v>2.3235578538070021E-4</v>
      </c>
      <c r="H1499" s="4">
        <f t="shared" si="955"/>
        <v>2.3235578538070021E-4</v>
      </c>
      <c r="I1499" s="4">
        <f t="shared" si="955"/>
        <v>2.3235578538070021E-4</v>
      </c>
      <c r="J1499" s="4">
        <f t="shared" si="955"/>
        <v>2.3235578538070021E-4</v>
      </c>
      <c r="K1499" s="4">
        <f t="shared" si="955"/>
        <v>2.3235578538070021E-4</v>
      </c>
      <c r="L1499" s="4">
        <f t="shared" si="955"/>
        <v>2.3235578538070021E-4</v>
      </c>
      <c r="M1499" s="4">
        <f t="shared" si="955"/>
        <v>2.3235578538070021E-4</v>
      </c>
      <c r="N1499" t="s">
        <v>256</v>
      </c>
      <c r="O1499" t="s">
        <v>280</v>
      </c>
      <c r="P1499" t="s">
        <v>351</v>
      </c>
      <c r="Q1499" s="4" t="s">
        <v>245</v>
      </c>
    </row>
    <row r="1500" spans="1:18" x14ac:dyDescent="0.25">
      <c r="A1500" t="s">
        <v>565</v>
      </c>
      <c r="B1500" t="s">
        <v>158</v>
      </c>
      <c r="C1500" s="4">
        <f t="shared" ref="C1500:M1500" si="956">(0.178561789731549/(0.0328453630665826+0.350336698877979+0.0822572721273277+0.0181224344560457+0.178561789731549)) * 0.848938037390015%</f>
        <v>2.2894200551635251E-3</v>
      </c>
      <c r="D1500" s="4">
        <f t="shared" si="956"/>
        <v>2.2894200551635251E-3</v>
      </c>
      <c r="E1500" s="4">
        <f t="shared" si="956"/>
        <v>2.2894200551635251E-3</v>
      </c>
      <c r="F1500" s="4">
        <f t="shared" si="956"/>
        <v>2.2894200551635251E-3</v>
      </c>
      <c r="G1500" s="4">
        <f t="shared" si="956"/>
        <v>2.2894200551635251E-3</v>
      </c>
      <c r="H1500" s="4">
        <f t="shared" si="956"/>
        <v>2.2894200551635251E-3</v>
      </c>
      <c r="I1500" s="4">
        <f t="shared" si="956"/>
        <v>2.2894200551635251E-3</v>
      </c>
      <c r="J1500" s="4">
        <f t="shared" si="956"/>
        <v>2.2894200551635251E-3</v>
      </c>
      <c r="K1500" s="4">
        <f t="shared" si="956"/>
        <v>2.2894200551635251E-3</v>
      </c>
      <c r="L1500" s="4">
        <f t="shared" si="956"/>
        <v>2.2894200551635251E-3</v>
      </c>
      <c r="M1500" s="4">
        <f t="shared" si="956"/>
        <v>2.2894200551635251E-3</v>
      </c>
      <c r="N1500" t="s">
        <v>256</v>
      </c>
      <c r="O1500" t="s">
        <v>354</v>
      </c>
      <c r="P1500" t="s">
        <v>351</v>
      </c>
      <c r="Q1500" s="4" t="s">
        <v>245</v>
      </c>
    </row>
    <row r="1501" spans="1:18" x14ac:dyDescent="0.25">
      <c r="A1501" t="s">
        <v>785</v>
      </c>
      <c r="B1501" t="s">
        <v>181</v>
      </c>
      <c r="C1501" s="4">
        <v>1.828702309123199E-2</v>
      </c>
      <c r="D1501" s="4">
        <v>1.828702309123199E-2</v>
      </c>
      <c r="E1501" s="4">
        <v>1.828702309123199E-2</v>
      </c>
      <c r="F1501" s="4">
        <v>1.828702309123199E-2</v>
      </c>
      <c r="G1501" s="4">
        <v>1.828702309123199E-2</v>
      </c>
      <c r="H1501" s="4">
        <v>1.828702309123199E-2</v>
      </c>
      <c r="I1501" s="4">
        <v>1.828702309123199E-2</v>
      </c>
      <c r="J1501" s="4">
        <v>1.828702309123199E-2</v>
      </c>
      <c r="K1501" s="4">
        <v>1.828702309123199E-2</v>
      </c>
      <c r="L1501" s="4">
        <v>1.828702309123199E-2</v>
      </c>
      <c r="M1501" s="4">
        <v>1.828702309123199E-2</v>
      </c>
      <c r="N1501" t="s">
        <v>333</v>
      </c>
      <c r="O1501" t="s">
        <v>784</v>
      </c>
      <c r="P1501" t="s">
        <v>785</v>
      </c>
      <c r="Q1501" t="s">
        <v>245</v>
      </c>
      <c r="R1501" t="s">
        <v>343</v>
      </c>
    </row>
    <row r="1502" spans="1:18" x14ac:dyDescent="0.25">
      <c r="A1502" t="s">
        <v>785</v>
      </c>
      <c r="B1502" t="s">
        <v>85</v>
      </c>
      <c r="C1502" s="4">
        <v>8.3704449717884016E-2</v>
      </c>
      <c r="D1502" s="4">
        <v>8.3704449717884016E-2</v>
      </c>
      <c r="E1502" s="4">
        <v>8.3704449717884016E-2</v>
      </c>
      <c r="F1502" s="4">
        <v>8.3704449717884016E-2</v>
      </c>
      <c r="G1502" s="4">
        <v>8.3704449717884016E-2</v>
      </c>
      <c r="H1502" s="4">
        <v>8.3704449717884016E-2</v>
      </c>
      <c r="I1502" s="4">
        <v>8.3704449717884016E-2</v>
      </c>
      <c r="J1502" s="4">
        <v>8.3704449717884016E-2</v>
      </c>
      <c r="K1502" s="4">
        <v>8.3704449717884016E-2</v>
      </c>
      <c r="L1502" s="4">
        <v>8.3704449717884016E-2</v>
      </c>
      <c r="M1502" s="4">
        <v>8.3704449717884016E-2</v>
      </c>
      <c r="N1502" t="s">
        <v>256</v>
      </c>
      <c r="O1502" t="s">
        <v>784</v>
      </c>
      <c r="P1502" t="s">
        <v>785</v>
      </c>
      <c r="Q1502" t="s">
        <v>245</v>
      </c>
    </row>
    <row r="1503" spans="1:18" x14ac:dyDescent="0.25">
      <c r="A1503" t="s">
        <v>785</v>
      </c>
      <c r="B1503" t="s">
        <v>116</v>
      </c>
      <c r="C1503" s="4">
        <v>9.3384664953835485E-3</v>
      </c>
      <c r="D1503" s="4">
        <v>9.3384664953835485E-3</v>
      </c>
      <c r="E1503" s="4">
        <v>9.3384664953835485E-3</v>
      </c>
      <c r="F1503" s="4">
        <v>9.3384664953835485E-3</v>
      </c>
      <c r="G1503" s="4">
        <v>9.3384664953835485E-3</v>
      </c>
      <c r="H1503" s="4">
        <v>9.3384664953835485E-3</v>
      </c>
      <c r="I1503" s="4">
        <v>9.3384664953835485E-3</v>
      </c>
      <c r="J1503" s="4">
        <v>9.3384664953835485E-3</v>
      </c>
      <c r="K1503" s="4">
        <v>9.3384664953835485E-3</v>
      </c>
      <c r="L1503" s="4">
        <v>9.3384664953835485E-3</v>
      </c>
      <c r="M1503" s="4">
        <v>9.3384664953835485E-3</v>
      </c>
      <c r="N1503" t="s">
        <v>256</v>
      </c>
      <c r="O1503" t="s">
        <v>784</v>
      </c>
      <c r="P1503" t="s">
        <v>785</v>
      </c>
      <c r="Q1503" t="s">
        <v>245</v>
      </c>
    </row>
    <row r="1504" spans="1:18" x14ac:dyDescent="0.25">
      <c r="A1504" t="s">
        <v>785</v>
      </c>
      <c r="B1504" t="s">
        <v>86</v>
      </c>
      <c r="C1504" s="4">
        <v>0.63977923351248933</v>
      </c>
      <c r="D1504" s="4">
        <v>0.63977923351248933</v>
      </c>
      <c r="E1504" s="4">
        <v>0.63977923351248933</v>
      </c>
      <c r="F1504" s="4">
        <v>0.63977923351248933</v>
      </c>
      <c r="G1504" s="4">
        <v>0.63977923351248933</v>
      </c>
      <c r="H1504" s="4">
        <v>0.63977923351248933</v>
      </c>
      <c r="I1504" s="4">
        <v>0.63977923351248933</v>
      </c>
      <c r="J1504" s="4">
        <v>0.63977923351248933</v>
      </c>
      <c r="K1504" s="4">
        <v>0.63977923351248933</v>
      </c>
      <c r="L1504" s="4">
        <v>0.63977923351248933</v>
      </c>
      <c r="M1504" s="4">
        <v>0.63977923351248933</v>
      </c>
      <c r="N1504" t="s">
        <v>256</v>
      </c>
      <c r="O1504" t="s">
        <v>784</v>
      </c>
      <c r="P1504" t="s">
        <v>785</v>
      </c>
      <c r="Q1504" t="s">
        <v>245</v>
      </c>
    </row>
    <row r="1505" spans="1:17" x14ac:dyDescent="0.25">
      <c r="A1505" t="s">
        <v>785</v>
      </c>
      <c r="B1505" t="s">
        <v>117</v>
      </c>
      <c r="C1505" s="4">
        <v>2.0259675727895491E-4</v>
      </c>
      <c r="D1505" s="4">
        <v>2.0259675727895491E-4</v>
      </c>
      <c r="E1505" s="4">
        <v>2.0259675727895491E-4</v>
      </c>
      <c r="F1505" s="4">
        <v>2.0259675727895491E-4</v>
      </c>
      <c r="G1505" s="4">
        <v>2.0259675727895491E-4</v>
      </c>
      <c r="H1505" s="4">
        <v>2.0259675727895491E-4</v>
      </c>
      <c r="I1505" s="4">
        <v>2.0259675727895491E-4</v>
      </c>
      <c r="J1505" s="4">
        <v>2.0259675727895491E-4</v>
      </c>
      <c r="K1505" s="4">
        <v>2.0259675727895491E-4</v>
      </c>
      <c r="L1505" s="4">
        <v>2.0259675727895491E-4</v>
      </c>
      <c r="M1505" s="4">
        <v>2.0259675727895491E-4</v>
      </c>
      <c r="N1505" t="s">
        <v>333</v>
      </c>
      <c r="O1505" t="s">
        <v>784</v>
      </c>
      <c r="P1505" t="s">
        <v>785</v>
      </c>
      <c r="Q1505" t="s">
        <v>245</v>
      </c>
    </row>
    <row r="1506" spans="1:17" x14ac:dyDescent="0.25">
      <c r="A1506" t="s">
        <v>785</v>
      </c>
      <c r="B1506" t="s">
        <v>97</v>
      </c>
      <c r="C1506" s="4">
        <v>2.8921220250932082E-2</v>
      </c>
      <c r="D1506" s="4">
        <v>2.8921220250932082E-2</v>
      </c>
      <c r="E1506" s="4">
        <v>2.8921220250932082E-2</v>
      </c>
      <c r="F1506" s="4">
        <v>2.8921220250932082E-2</v>
      </c>
      <c r="G1506" s="4">
        <v>2.8921220250932082E-2</v>
      </c>
      <c r="H1506" s="4">
        <v>2.8921220250932082E-2</v>
      </c>
      <c r="I1506" s="4">
        <v>2.8921220250932082E-2</v>
      </c>
      <c r="J1506" s="4">
        <v>2.8921220250932082E-2</v>
      </c>
      <c r="K1506" s="4">
        <v>2.8921220250932082E-2</v>
      </c>
      <c r="L1506" s="4">
        <v>2.8921220250932082E-2</v>
      </c>
      <c r="M1506" s="4">
        <v>2.8921220250932082E-2</v>
      </c>
      <c r="N1506" t="s">
        <v>256</v>
      </c>
      <c r="O1506" t="s">
        <v>784</v>
      </c>
      <c r="P1506" t="s">
        <v>785</v>
      </c>
      <c r="Q1506" t="s">
        <v>245</v>
      </c>
    </row>
    <row r="1507" spans="1:17" x14ac:dyDescent="0.25">
      <c r="A1507" t="s">
        <v>785</v>
      </c>
      <c r="B1507" t="s">
        <v>149</v>
      </c>
      <c r="C1507" s="4">
        <v>5.153777158850608E-2</v>
      </c>
      <c r="D1507" s="4">
        <v>5.153777158850608E-2</v>
      </c>
      <c r="E1507" s="4">
        <v>5.153777158850608E-2</v>
      </c>
      <c r="F1507" s="4">
        <v>5.153777158850608E-2</v>
      </c>
      <c r="G1507" s="4">
        <v>5.153777158850608E-2</v>
      </c>
      <c r="H1507" s="4">
        <v>5.153777158850608E-2</v>
      </c>
      <c r="I1507" s="4">
        <v>5.153777158850608E-2</v>
      </c>
      <c r="J1507" s="4">
        <v>5.153777158850608E-2</v>
      </c>
      <c r="K1507" s="4">
        <v>5.153777158850608E-2</v>
      </c>
      <c r="L1507" s="4">
        <v>5.153777158850608E-2</v>
      </c>
      <c r="M1507" s="4">
        <v>5.153777158850608E-2</v>
      </c>
      <c r="N1507" t="s">
        <v>256</v>
      </c>
      <c r="O1507" t="s">
        <v>784</v>
      </c>
      <c r="P1507" t="s">
        <v>785</v>
      </c>
      <c r="Q1507" t="s">
        <v>245</v>
      </c>
    </row>
    <row r="1508" spans="1:17" x14ac:dyDescent="0.25">
      <c r="A1508" t="s">
        <v>785</v>
      </c>
      <c r="B1508" t="s">
        <v>141</v>
      </c>
      <c r="C1508" s="4">
        <v>4.8329989598255962E-2</v>
      </c>
      <c r="D1508" s="4">
        <v>4.8329989598255962E-2</v>
      </c>
      <c r="E1508" s="4">
        <v>4.8329989598255962E-2</v>
      </c>
      <c r="F1508" s="4">
        <v>4.8329989598255962E-2</v>
      </c>
      <c r="G1508" s="4">
        <v>4.8329989598255962E-2</v>
      </c>
      <c r="H1508" s="4">
        <v>4.8329989598255962E-2</v>
      </c>
      <c r="I1508" s="4">
        <v>4.8329989598255962E-2</v>
      </c>
      <c r="J1508" s="4">
        <v>4.8329989598255962E-2</v>
      </c>
      <c r="K1508" s="4">
        <v>4.8329989598255962E-2</v>
      </c>
      <c r="L1508" s="4">
        <v>4.8329989598255962E-2</v>
      </c>
      <c r="M1508" s="4">
        <v>4.8329989598255962E-2</v>
      </c>
      <c r="N1508" t="s">
        <v>256</v>
      </c>
      <c r="O1508" t="s">
        <v>784</v>
      </c>
      <c r="P1508" t="s">
        <v>785</v>
      </c>
      <c r="Q1508" t="s">
        <v>245</v>
      </c>
    </row>
    <row r="1509" spans="1:17" x14ac:dyDescent="0.25">
      <c r="A1509" t="s">
        <v>785</v>
      </c>
      <c r="B1509" t="s">
        <v>150</v>
      </c>
      <c r="C1509" s="4">
        <v>3.6597149321451919E-3</v>
      </c>
      <c r="D1509" s="4">
        <v>3.6597149321451919E-3</v>
      </c>
      <c r="E1509" s="4">
        <v>3.6597149321451919E-3</v>
      </c>
      <c r="F1509" s="4">
        <v>3.6597149321451919E-3</v>
      </c>
      <c r="G1509" s="4">
        <v>3.6597149321451919E-3</v>
      </c>
      <c r="H1509" s="4">
        <v>3.6597149321451919E-3</v>
      </c>
      <c r="I1509" s="4">
        <v>3.6597149321451919E-3</v>
      </c>
      <c r="J1509" s="4">
        <v>3.6597149321451919E-3</v>
      </c>
      <c r="K1509" s="4">
        <v>3.6597149321451919E-3</v>
      </c>
      <c r="L1509" s="4">
        <v>3.6597149321451919E-3</v>
      </c>
      <c r="M1509" s="4">
        <v>3.6597149321451919E-3</v>
      </c>
      <c r="N1509" t="s">
        <v>256</v>
      </c>
      <c r="O1509" t="s">
        <v>784</v>
      </c>
      <c r="P1509" t="s">
        <v>785</v>
      </c>
      <c r="Q1509" t="s">
        <v>245</v>
      </c>
    </row>
    <row r="1510" spans="1:17" x14ac:dyDescent="0.25">
      <c r="A1510" t="s">
        <v>785</v>
      </c>
      <c r="B1510" t="s">
        <v>105</v>
      </c>
      <c r="C1510" s="4">
        <v>5.6274448230397303E-2</v>
      </c>
      <c r="D1510" s="4">
        <v>5.6274448230397303E-2</v>
      </c>
      <c r="E1510" s="4">
        <v>5.6274448230397303E-2</v>
      </c>
      <c r="F1510" s="4">
        <v>5.6274448230397303E-2</v>
      </c>
      <c r="G1510" s="4">
        <v>5.6274448230397303E-2</v>
      </c>
      <c r="H1510" s="4">
        <v>5.6274448230397303E-2</v>
      </c>
      <c r="I1510" s="4">
        <v>5.6274448230397303E-2</v>
      </c>
      <c r="J1510" s="4">
        <v>5.6274448230397303E-2</v>
      </c>
      <c r="K1510" s="4">
        <v>5.6274448230397303E-2</v>
      </c>
      <c r="L1510" s="4">
        <v>5.6274448230397303E-2</v>
      </c>
      <c r="M1510" s="4">
        <v>5.6274448230397303E-2</v>
      </c>
      <c r="N1510" t="s">
        <v>256</v>
      </c>
      <c r="O1510" t="s">
        <v>784</v>
      </c>
      <c r="P1510" t="s">
        <v>785</v>
      </c>
      <c r="Q1510" t="s">
        <v>245</v>
      </c>
    </row>
    <row r="1511" spans="1:17" x14ac:dyDescent="0.25">
      <c r="A1511" t="s">
        <v>785</v>
      </c>
      <c r="B1511" t="s">
        <v>175</v>
      </c>
      <c r="C1511" s="4">
        <v>1.0080077256896781E-3</v>
      </c>
      <c r="D1511" s="4">
        <v>1.0080077256896781E-3</v>
      </c>
      <c r="E1511" s="4">
        <v>1.0080077256896781E-3</v>
      </c>
      <c r="F1511" s="4">
        <v>1.0080077256896781E-3</v>
      </c>
      <c r="G1511" s="4">
        <v>1.0080077256896781E-3</v>
      </c>
      <c r="H1511" s="4">
        <v>1.0080077256896781E-3</v>
      </c>
      <c r="I1511" s="4">
        <v>1.0080077256896781E-3</v>
      </c>
      <c r="J1511" s="4">
        <v>1.0080077256896781E-3</v>
      </c>
      <c r="K1511" s="4">
        <v>1.0080077256896781E-3</v>
      </c>
      <c r="L1511" s="4">
        <v>1.0080077256896781E-3</v>
      </c>
      <c r="M1511" s="4">
        <v>1.0080077256896781E-3</v>
      </c>
      <c r="N1511" t="s">
        <v>256</v>
      </c>
      <c r="O1511" t="s">
        <v>784</v>
      </c>
      <c r="P1511" t="s">
        <v>785</v>
      </c>
      <c r="Q1511" t="s">
        <v>245</v>
      </c>
    </row>
    <row r="1512" spans="1:17" x14ac:dyDescent="0.25">
      <c r="A1512" t="s">
        <v>785</v>
      </c>
      <c r="B1512" t="s">
        <v>132</v>
      </c>
      <c r="C1512" s="4">
        <v>8.3171300356623609E-3</v>
      </c>
      <c r="D1512" s="4">
        <v>8.3171300356623609E-3</v>
      </c>
      <c r="E1512" s="4">
        <v>8.3171300356623609E-3</v>
      </c>
      <c r="F1512" s="4">
        <v>8.3171300356623609E-3</v>
      </c>
      <c r="G1512" s="4">
        <v>8.3171300356623609E-3</v>
      </c>
      <c r="H1512" s="4">
        <v>8.3171300356623609E-3</v>
      </c>
      <c r="I1512" s="4">
        <v>8.3171300356623609E-3</v>
      </c>
      <c r="J1512" s="4">
        <v>8.3171300356623609E-3</v>
      </c>
      <c r="K1512" s="4">
        <v>8.3171300356623609E-3</v>
      </c>
      <c r="L1512" s="4">
        <v>8.3171300356623609E-3</v>
      </c>
      <c r="M1512" s="4">
        <v>8.3171300356623609E-3</v>
      </c>
      <c r="N1512" t="s">
        <v>333</v>
      </c>
      <c r="O1512" t="s">
        <v>784</v>
      </c>
      <c r="P1512" t="s">
        <v>785</v>
      </c>
      <c r="Q1512" t="s">
        <v>245</v>
      </c>
    </row>
    <row r="1513" spans="1:17" x14ac:dyDescent="0.25">
      <c r="A1513" t="s">
        <v>785</v>
      </c>
      <c r="B1513" t="s">
        <v>106</v>
      </c>
      <c r="C1513" s="4">
        <v>3.2699827490638341E-4</v>
      </c>
      <c r="D1513" s="4">
        <v>3.2699827490638341E-4</v>
      </c>
      <c r="E1513" s="4">
        <v>3.2699827490638341E-4</v>
      </c>
      <c r="F1513" s="4">
        <v>3.2699827490638341E-4</v>
      </c>
      <c r="G1513" s="4">
        <v>3.2699827490638341E-4</v>
      </c>
      <c r="H1513" s="4">
        <v>3.2699827490638341E-4</v>
      </c>
      <c r="I1513" s="4">
        <v>3.2699827490638341E-4</v>
      </c>
      <c r="J1513" s="4">
        <v>3.2699827490638341E-4</v>
      </c>
      <c r="K1513" s="4">
        <v>3.2699827490638341E-4</v>
      </c>
      <c r="L1513" s="4">
        <v>3.2699827490638341E-4</v>
      </c>
      <c r="M1513" s="4">
        <v>3.2699827490638341E-4</v>
      </c>
      <c r="N1513" t="s">
        <v>256</v>
      </c>
      <c r="O1513" t="s">
        <v>784</v>
      </c>
      <c r="P1513" t="s">
        <v>785</v>
      </c>
      <c r="Q1513" t="s">
        <v>245</v>
      </c>
    </row>
    <row r="1514" spans="1:17" x14ac:dyDescent="0.25">
      <c r="A1514" t="s">
        <v>785</v>
      </c>
      <c r="B1514" t="s">
        <v>107</v>
      </c>
      <c r="C1514" s="4">
        <v>2.0081959274142022E-2</v>
      </c>
      <c r="D1514" s="4">
        <v>2.0081959274142022E-2</v>
      </c>
      <c r="E1514" s="4">
        <v>2.0081959274142022E-2</v>
      </c>
      <c r="F1514" s="4">
        <v>2.0081959274142022E-2</v>
      </c>
      <c r="G1514" s="4">
        <v>2.0081959274142022E-2</v>
      </c>
      <c r="H1514" s="4">
        <v>2.0081959274142022E-2</v>
      </c>
      <c r="I1514" s="4">
        <v>2.0081959274142022E-2</v>
      </c>
      <c r="J1514" s="4">
        <v>2.0081959274142022E-2</v>
      </c>
      <c r="K1514" s="4">
        <v>2.0081959274142022E-2</v>
      </c>
      <c r="L1514" s="4">
        <v>2.0081959274142022E-2</v>
      </c>
      <c r="M1514" s="4">
        <v>2.0081959274142022E-2</v>
      </c>
      <c r="N1514" t="s">
        <v>333</v>
      </c>
      <c r="O1514" t="s">
        <v>784</v>
      </c>
      <c r="P1514" t="s">
        <v>785</v>
      </c>
      <c r="Q1514" t="s">
        <v>245</v>
      </c>
    </row>
    <row r="1515" spans="1:17" x14ac:dyDescent="0.25">
      <c r="A1515" t="s">
        <v>785</v>
      </c>
      <c r="B1515" t="s">
        <v>211</v>
      </c>
      <c r="C1515" s="4">
        <v>3.4777332835016399E-3</v>
      </c>
      <c r="D1515" s="4">
        <v>3.4777332835016399E-3</v>
      </c>
      <c r="E1515" s="4">
        <v>3.4777332835016399E-3</v>
      </c>
      <c r="F1515" s="4">
        <v>3.4777332835016399E-3</v>
      </c>
      <c r="G1515" s="4">
        <v>3.4777332835016399E-3</v>
      </c>
      <c r="H1515" s="4">
        <v>3.4777332835016399E-3</v>
      </c>
      <c r="I1515" s="4">
        <v>3.4777332835016399E-3</v>
      </c>
      <c r="J1515" s="4">
        <v>3.4777332835016399E-3</v>
      </c>
      <c r="K1515" s="4">
        <v>3.4777332835016399E-3</v>
      </c>
      <c r="L1515" s="4">
        <v>3.4777332835016399E-3</v>
      </c>
      <c r="M1515" s="4">
        <v>3.4777332835016399E-3</v>
      </c>
      <c r="N1515" t="s">
        <v>256</v>
      </c>
      <c r="O1515" t="s">
        <v>784</v>
      </c>
      <c r="P1515" t="s">
        <v>785</v>
      </c>
      <c r="Q1515" t="s">
        <v>245</v>
      </c>
    </row>
    <row r="1516" spans="1:17" x14ac:dyDescent="0.25">
      <c r="A1516" t="s">
        <v>785</v>
      </c>
      <c r="B1516" t="s">
        <v>112</v>
      </c>
      <c r="C1516" s="4">
        <v>1.2490445519155079E-2</v>
      </c>
      <c r="D1516" s="4">
        <v>1.2490445519155079E-2</v>
      </c>
      <c r="E1516" s="4">
        <v>1.2490445519155079E-2</v>
      </c>
      <c r="F1516" s="4">
        <v>1.2490445519155079E-2</v>
      </c>
      <c r="G1516" s="4">
        <v>1.2490445519155079E-2</v>
      </c>
      <c r="H1516" s="4">
        <v>1.2490445519155079E-2</v>
      </c>
      <c r="I1516" s="4">
        <v>1.2490445519155079E-2</v>
      </c>
      <c r="J1516" s="4">
        <v>1.2490445519155079E-2</v>
      </c>
      <c r="K1516" s="4">
        <v>1.2490445519155079E-2</v>
      </c>
      <c r="L1516" s="4">
        <v>1.2490445519155079E-2</v>
      </c>
      <c r="M1516" s="4">
        <v>1.2490445519155079E-2</v>
      </c>
      <c r="N1516" t="s">
        <v>256</v>
      </c>
      <c r="O1516" t="s">
        <v>784</v>
      </c>
      <c r="P1516" t="s">
        <v>785</v>
      </c>
      <c r="Q1516" t="s">
        <v>245</v>
      </c>
    </row>
    <row r="1517" spans="1:17" x14ac:dyDescent="0.25">
      <c r="A1517" t="s">
        <v>785</v>
      </c>
      <c r="B1517" t="s">
        <v>122</v>
      </c>
      <c r="C1517" s="4">
        <v>1.383611450697635E-2</v>
      </c>
      <c r="D1517" s="4">
        <v>1.383611450697635E-2</v>
      </c>
      <c r="E1517" s="4">
        <v>1.383611450697635E-2</v>
      </c>
      <c r="F1517" s="4">
        <v>1.383611450697635E-2</v>
      </c>
      <c r="G1517" s="4">
        <v>1.383611450697635E-2</v>
      </c>
      <c r="H1517" s="4">
        <v>1.383611450697635E-2</v>
      </c>
      <c r="I1517" s="4">
        <v>1.383611450697635E-2</v>
      </c>
      <c r="J1517" s="4">
        <v>1.383611450697635E-2</v>
      </c>
      <c r="K1517" s="4">
        <v>1.383611450697635E-2</v>
      </c>
      <c r="L1517" s="4">
        <v>1.383611450697635E-2</v>
      </c>
      <c r="M1517" s="4">
        <v>1.383611450697635E-2</v>
      </c>
      <c r="N1517" t="s">
        <v>333</v>
      </c>
      <c r="O1517" t="s">
        <v>784</v>
      </c>
      <c r="P1517" t="s">
        <v>785</v>
      </c>
      <c r="Q1517" t="s">
        <v>245</v>
      </c>
    </row>
    <row r="1518" spans="1:17" x14ac:dyDescent="0.25">
      <c r="A1518" t="s">
        <v>785</v>
      </c>
      <c r="B1518" t="s">
        <v>158</v>
      </c>
      <c r="C1518" s="4">
        <v>4.2669720546207972E-4</v>
      </c>
      <c r="D1518" s="4">
        <v>4.2669720546207972E-4</v>
      </c>
      <c r="E1518" s="4">
        <v>4.2669720546207972E-4</v>
      </c>
      <c r="F1518" s="4">
        <v>4.2669720546207972E-4</v>
      </c>
      <c r="G1518" s="4">
        <v>4.2669720546207972E-4</v>
      </c>
      <c r="H1518" s="4">
        <v>4.2669720546207972E-4</v>
      </c>
      <c r="I1518" s="4">
        <v>4.2669720546207972E-4</v>
      </c>
      <c r="J1518" s="4">
        <v>4.2669720546207972E-4</v>
      </c>
      <c r="K1518" s="4">
        <v>4.2669720546207972E-4</v>
      </c>
      <c r="L1518" s="4">
        <v>4.2669720546207972E-4</v>
      </c>
      <c r="M1518" s="4">
        <v>4.2669720546207972E-4</v>
      </c>
      <c r="N1518" t="s">
        <v>256</v>
      </c>
      <c r="O1518" t="s">
        <v>784</v>
      </c>
      <c r="P1518" t="s">
        <v>785</v>
      </c>
      <c r="Q1518" t="s">
        <v>245</v>
      </c>
    </row>
    <row r="1519" spans="1:17" x14ac:dyDescent="0.25">
      <c r="A1519" t="s">
        <v>783</v>
      </c>
      <c r="B1519" t="s">
        <v>181</v>
      </c>
      <c r="C1519" s="4">
        <v>1.828702309123199E-2</v>
      </c>
      <c r="D1519" s="4">
        <v>1.828702309123199E-2</v>
      </c>
      <c r="E1519" s="4">
        <v>1.828702309123199E-2</v>
      </c>
      <c r="F1519" s="4">
        <v>1.828702309123199E-2</v>
      </c>
      <c r="G1519" s="4">
        <v>1.828702309123199E-2</v>
      </c>
      <c r="H1519" s="4">
        <v>1.828702309123199E-2</v>
      </c>
      <c r="I1519" s="4">
        <v>1.828702309123199E-2</v>
      </c>
      <c r="J1519" s="4">
        <v>1.828702309123199E-2</v>
      </c>
      <c r="K1519" s="4">
        <v>1.828702309123199E-2</v>
      </c>
      <c r="L1519" s="4">
        <v>1.828702309123199E-2</v>
      </c>
      <c r="M1519" s="4">
        <v>1.828702309123199E-2</v>
      </c>
      <c r="N1519" t="s">
        <v>254</v>
      </c>
      <c r="O1519" t="s">
        <v>782</v>
      </c>
      <c r="P1519" t="s">
        <v>783</v>
      </c>
      <c r="Q1519" t="s">
        <v>245</v>
      </c>
    </row>
    <row r="1520" spans="1:17" x14ac:dyDescent="0.25">
      <c r="A1520" t="s">
        <v>783</v>
      </c>
      <c r="B1520" t="s">
        <v>85</v>
      </c>
      <c r="C1520" s="4">
        <v>8.3704449717884016E-2</v>
      </c>
      <c r="D1520" s="4">
        <v>8.3704449717884016E-2</v>
      </c>
      <c r="E1520" s="4">
        <v>8.3704449717884016E-2</v>
      </c>
      <c r="F1520" s="4">
        <v>8.3704449717884016E-2</v>
      </c>
      <c r="G1520" s="4">
        <v>8.3704449717884016E-2</v>
      </c>
      <c r="H1520" s="4">
        <v>8.3704449717884016E-2</v>
      </c>
      <c r="I1520" s="4">
        <v>8.3704449717884016E-2</v>
      </c>
      <c r="J1520" s="4">
        <v>8.3704449717884016E-2</v>
      </c>
      <c r="K1520" s="4">
        <v>8.3704449717884016E-2</v>
      </c>
      <c r="L1520" s="4">
        <v>8.3704449717884016E-2</v>
      </c>
      <c r="M1520" s="4">
        <v>8.3704449717884016E-2</v>
      </c>
      <c r="N1520" t="s">
        <v>254</v>
      </c>
      <c r="O1520" t="s">
        <v>782</v>
      </c>
      <c r="P1520" t="s">
        <v>783</v>
      </c>
      <c r="Q1520" t="s">
        <v>245</v>
      </c>
    </row>
    <row r="1521" spans="1:17" x14ac:dyDescent="0.25">
      <c r="A1521" t="s">
        <v>783</v>
      </c>
      <c r="B1521" t="s">
        <v>116</v>
      </c>
      <c r="C1521" s="4">
        <v>9.3384664953835485E-3</v>
      </c>
      <c r="D1521" s="4">
        <v>9.3384664953835485E-3</v>
      </c>
      <c r="E1521" s="4">
        <v>9.3384664953835485E-3</v>
      </c>
      <c r="F1521" s="4">
        <v>9.3384664953835485E-3</v>
      </c>
      <c r="G1521" s="4">
        <v>9.3384664953835485E-3</v>
      </c>
      <c r="H1521" s="4">
        <v>9.3384664953835485E-3</v>
      </c>
      <c r="I1521" s="4">
        <v>9.3384664953835485E-3</v>
      </c>
      <c r="J1521" s="4">
        <v>9.3384664953835485E-3</v>
      </c>
      <c r="K1521" s="4">
        <v>9.3384664953835485E-3</v>
      </c>
      <c r="L1521" s="4">
        <v>9.3384664953835485E-3</v>
      </c>
      <c r="M1521" s="4">
        <v>9.3384664953835485E-3</v>
      </c>
      <c r="N1521" t="s">
        <v>254</v>
      </c>
      <c r="O1521" t="s">
        <v>782</v>
      </c>
      <c r="P1521" t="s">
        <v>783</v>
      </c>
      <c r="Q1521" t="s">
        <v>245</v>
      </c>
    </row>
    <row r="1522" spans="1:17" x14ac:dyDescent="0.25">
      <c r="A1522" t="s">
        <v>783</v>
      </c>
      <c r="B1522" t="s">
        <v>86</v>
      </c>
      <c r="C1522" s="4">
        <v>0.63977923351248933</v>
      </c>
      <c r="D1522" s="4">
        <v>0.63977923351248933</v>
      </c>
      <c r="E1522" s="4">
        <v>0.63977923351248933</v>
      </c>
      <c r="F1522" s="4">
        <v>0.63977923351248933</v>
      </c>
      <c r="G1522" s="4">
        <v>0.63977923351248933</v>
      </c>
      <c r="H1522" s="4">
        <v>0.63977923351248933</v>
      </c>
      <c r="I1522" s="4">
        <v>0.63977923351248933</v>
      </c>
      <c r="J1522" s="4">
        <v>0.63977923351248933</v>
      </c>
      <c r="K1522" s="4">
        <v>0.63977923351248933</v>
      </c>
      <c r="L1522" s="4">
        <v>0.63977923351248933</v>
      </c>
      <c r="M1522" s="4">
        <v>0.63977923351248933</v>
      </c>
      <c r="N1522" t="s">
        <v>254</v>
      </c>
      <c r="O1522" t="s">
        <v>782</v>
      </c>
      <c r="P1522" t="s">
        <v>783</v>
      </c>
      <c r="Q1522" t="s">
        <v>245</v>
      </c>
    </row>
    <row r="1523" spans="1:17" x14ac:dyDescent="0.25">
      <c r="A1523" t="s">
        <v>783</v>
      </c>
      <c r="B1523" t="s">
        <v>117</v>
      </c>
      <c r="C1523" s="4">
        <v>2.0259675727895491E-4</v>
      </c>
      <c r="D1523" s="4">
        <v>2.0259675727895491E-4</v>
      </c>
      <c r="E1523" s="4">
        <v>2.0259675727895491E-4</v>
      </c>
      <c r="F1523" s="4">
        <v>2.0259675727895491E-4</v>
      </c>
      <c r="G1523" s="4">
        <v>2.0259675727895491E-4</v>
      </c>
      <c r="H1523" s="4">
        <v>2.0259675727895491E-4</v>
      </c>
      <c r="I1523" s="4">
        <v>2.0259675727895491E-4</v>
      </c>
      <c r="J1523" s="4">
        <v>2.0259675727895491E-4</v>
      </c>
      <c r="K1523" s="4">
        <v>2.0259675727895491E-4</v>
      </c>
      <c r="L1523" s="4">
        <v>2.0259675727895491E-4</v>
      </c>
      <c r="M1523" s="4">
        <v>2.0259675727895491E-4</v>
      </c>
      <c r="N1523" t="s">
        <v>254</v>
      </c>
      <c r="O1523" t="s">
        <v>782</v>
      </c>
      <c r="P1523" t="s">
        <v>783</v>
      </c>
      <c r="Q1523" t="s">
        <v>245</v>
      </c>
    </row>
    <row r="1524" spans="1:17" x14ac:dyDescent="0.25">
      <c r="A1524" t="s">
        <v>783</v>
      </c>
      <c r="B1524" t="s">
        <v>97</v>
      </c>
      <c r="C1524" s="4">
        <v>2.8921220250932082E-2</v>
      </c>
      <c r="D1524" s="4">
        <v>2.8921220250932082E-2</v>
      </c>
      <c r="E1524" s="4">
        <v>2.8921220250932082E-2</v>
      </c>
      <c r="F1524" s="4">
        <v>2.8921220250932082E-2</v>
      </c>
      <c r="G1524" s="4">
        <v>2.8921220250932082E-2</v>
      </c>
      <c r="H1524" s="4">
        <v>2.8921220250932082E-2</v>
      </c>
      <c r="I1524" s="4">
        <v>2.8921220250932082E-2</v>
      </c>
      <c r="J1524" s="4">
        <v>2.8921220250932082E-2</v>
      </c>
      <c r="K1524" s="4">
        <v>2.8921220250932082E-2</v>
      </c>
      <c r="L1524" s="4">
        <v>2.8921220250932082E-2</v>
      </c>
      <c r="M1524" s="4">
        <v>2.8921220250932082E-2</v>
      </c>
      <c r="N1524" t="s">
        <v>254</v>
      </c>
      <c r="O1524" t="s">
        <v>782</v>
      </c>
      <c r="P1524" t="s">
        <v>783</v>
      </c>
      <c r="Q1524" t="s">
        <v>245</v>
      </c>
    </row>
    <row r="1525" spans="1:17" x14ac:dyDescent="0.25">
      <c r="A1525" t="s">
        <v>783</v>
      </c>
      <c r="B1525" t="s">
        <v>149</v>
      </c>
      <c r="C1525" s="4">
        <v>5.153777158850608E-2</v>
      </c>
      <c r="D1525" s="4">
        <v>5.153777158850608E-2</v>
      </c>
      <c r="E1525" s="4">
        <v>5.153777158850608E-2</v>
      </c>
      <c r="F1525" s="4">
        <v>5.153777158850608E-2</v>
      </c>
      <c r="G1525" s="4">
        <v>5.153777158850608E-2</v>
      </c>
      <c r="H1525" s="4">
        <v>5.153777158850608E-2</v>
      </c>
      <c r="I1525" s="4">
        <v>5.153777158850608E-2</v>
      </c>
      <c r="J1525" s="4">
        <v>5.153777158850608E-2</v>
      </c>
      <c r="K1525" s="4">
        <v>5.153777158850608E-2</v>
      </c>
      <c r="L1525" s="4">
        <v>5.153777158850608E-2</v>
      </c>
      <c r="M1525" s="4">
        <v>5.153777158850608E-2</v>
      </c>
      <c r="N1525" t="s">
        <v>254</v>
      </c>
      <c r="O1525" t="s">
        <v>782</v>
      </c>
      <c r="P1525" t="s">
        <v>783</v>
      </c>
      <c r="Q1525" t="s">
        <v>245</v>
      </c>
    </row>
    <row r="1526" spans="1:17" x14ac:dyDescent="0.25">
      <c r="A1526" t="s">
        <v>783</v>
      </c>
      <c r="B1526" t="s">
        <v>141</v>
      </c>
      <c r="C1526" s="4">
        <v>4.8329989598255962E-2</v>
      </c>
      <c r="D1526" s="4">
        <v>4.8329989598255962E-2</v>
      </c>
      <c r="E1526" s="4">
        <v>4.8329989598255962E-2</v>
      </c>
      <c r="F1526" s="4">
        <v>4.8329989598255962E-2</v>
      </c>
      <c r="G1526" s="4">
        <v>4.8329989598255962E-2</v>
      </c>
      <c r="H1526" s="4">
        <v>4.8329989598255962E-2</v>
      </c>
      <c r="I1526" s="4">
        <v>4.8329989598255962E-2</v>
      </c>
      <c r="J1526" s="4">
        <v>4.8329989598255962E-2</v>
      </c>
      <c r="K1526" s="4">
        <v>4.8329989598255962E-2</v>
      </c>
      <c r="L1526" s="4">
        <v>4.8329989598255962E-2</v>
      </c>
      <c r="M1526" s="4">
        <v>4.8329989598255962E-2</v>
      </c>
      <c r="N1526" t="s">
        <v>254</v>
      </c>
      <c r="O1526" t="s">
        <v>782</v>
      </c>
      <c r="P1526" t="s">
        <v>783</v>
      </c>
      <c r="Q1526" t="s">
        <v>245</v>
      </c>
    </row>
    <row r="1527" spans="1:17" x14ac:dyDescent="0.25">
      <c r="A1527" t="s">
        <v>783</v>
      </c>
      <c r="B1527" t="s">
        <v>150</v>
      </c>
      <c r="C1527" s="4">
        <v>3.6597149321451919E-3</v>
      </c>
      <c r="D1527" s="4">
        <v>3.6597149321451919E-3</v>
      </c>
      <c r="E1527" s="4">
        <v>3.6597149321451919E-3</v>
      </c>
      <c r="F1527" s="4">
        <v>3.6597149321451919E-3</v>
      </c>
      <c r="G1527" s="4">
        <v>3.6597149321451919E-3</v>
      </c>
      <c r="H1527" s="4">
        <v>3.6597149321451919E-3</v>
      </c>
      <c r="I1527" s="4">
        <v>3.6597149321451919E-3</v>
      </c>
      <c r="J1527" s="4">
        <v>3.6597149321451919E-3</v>
      </c>
      <c r="K1527" s="4">
        <v>3.6597149321451919E-3</v>
      </c>
      <c r="L1527" s="4">
        <v>3.6597149321451919E-3</v>
      </c>
      <c r="M1527" s="4">
        <v>3.6597149321451919E-3</v>
      </c>
      <c r="N1527" t="s">
        <v>254</v>
      </c>
      <c r="O1527" t="s">
        <v>782</v>
      </c>
      <c r="P1527" t="s">
        <v>783</v>
      </c>
      <c r="Q1527" t="s">
        <v>245</v>
      </c>
    </row>
    <row r="1528" spans="1:17" x14ac:dyDescent="0.25">
      <c r="A1528" t="s">
        <v>783</v>
      </c>
      <c r="B1528" t="s">
        <v>105</v>
      </c>
      <c r="C1528" s="4">
        <v>5.6274448230397303E-2</v>
      </c>
      <c r="D1528" s="4">
        <v>5.6274448230397303E-2</v>
      </c>
      <c r="E1528" s="4">
        <v>5.6274448230397303E-2</v>
      </c>
      <c r="F1528" s="4">
        <v>5.6274448230397303E-2</v>
      </c>
      <c r="G1528" s="4">
        <v>5.6274448230397303E-2</v>
      </c>
      <c r="H1528" s="4">
        <v>5.6274448230397303E-2</v>
      </c>
      <c r="I1528" s="4">
        <v>5.6274448230397303E-2</v>
      </c>
      <c r="J1528" s="4">
        <v>5.6274448230397303E-2</v>
      </c>
      <c r="K1528" s="4">
        <v>5.6274448230397303E-2</v>
      </c>
      <c r="L1528" s="4">
        <v>5.6274448230397303E-2</v>
      </c>
      <c r="M1528" s="4">
        <v>5.6274448230397303E-2</v>
      </c>
      <c r="N1528" t="s">
        <v>254</v>
      </c>
      <c r="O1528" t="s">
        <v>782</v>
      </c>
      <c r="P1528" t="s">
        <v>783</v>
      </c>
      <c r="Q1528" t="s">
        <v>245</v>
      </c>
    </row>
    <row r="1529" spans="1:17" x14ac:dyDescent="0.25">
      <c r="A1529" t="s">
        <v>783</v>
      </c>
      <c r="B1529" t="s">
        <v>175</v>
      </c>
      <c r="C1529" s="4">
        <v>1.0080077256896781E-3</v>
      </c>
      <c r="D1529" s="4">
        <v>1.0080077256896781E-3</v>
      </c>
      <c r="E1529" s="4">
        <v>1.0080077256896781E-3</v>
      </c>
      <c r="F1529" s="4">
        <v>1.0080077256896781E-3</v>
      </c>
      <c r="G1529" s="4">
        <v>1.0080077256896781E-3</v>
      </c>
      <c r="H1529" s="4">
        <v>1.0080077256896781E-3</v>
      </c>
      <c r="I1529" s="4">
        <v>1.0080077256896781E-3</v>
      </c>
      <c r="J1529" s="4">
        <v>1.0080077256896781E-3</v>
      </c>
      <c r="K1529" s="4">
        <v>1.0080077256896781E-3</v>
      </c>
      <c r="L1529" s="4">
        <v>1.0080077256896781E-3</v>
      </c>
      <c r="M1529" s="4">
        <v>1.0080077256896781E-3</v>
      </c>
      <c r="N1529" t="s">
        <v>254</v>
      </c>
      <c r="O1529" t="s">
        <v>782</v>
      </c>
      <c r="P1529" t="s">
        <v>783</v>
      </c>
      <c r="Q1529" t="s">
        <v>245</v>
      </c>
    </row>
    <row r="1530" spans="1:17" x14ac:dyDescent="0.25">
      <c r="A1530" t="s">
        <v>783</v>
      </c>
      <c r="B1530" t="s">
        <v>132</v>
      </c>
      <c r="C1530" s="4">
        <v>8.3171300356623609E-3</v>
      </c>
      <c r="D1530" s="4">
        <v>8.3171300356623609E-3</v>
      </c>
      <c r="E1530" s="4">
        <v>8.3171300356623609E-3</v>
      </c>
      <c r="F1530" s="4">
        <v>8.3171300356623609E-3</v>
      </c>
      <c r="G1530" s="4">
        <v>8.3171300356623609E-3</v>
      </c>
      <c r="H1530" s="4">
        <v>8.3171300356623609E-3</v>
      </c>
      <c r="I1530" s="4">
        <v>8.3171300356623609E-3</v>
      </c>
      <c r="J1530" s="4">
        <v>8.3171300356623609E-3</v>
      </c>
      <c r="K1530" s="4">
        <v>8.3171300356623609E-3</v>
      </c>
      <c r="L1530" s="4">
        <v>8.3171300356623609E-3</v>
      </c>
      <c r="M1530" s="4">
        <v>8.3171300356623609E-3</v>
      </c>
      <c r="N1530" t="s">
        <v>254</v>
      </c>
      <c r="O1530" t="s">
        <v>782</v>
      </c>
      <c r="P1530" t="s">
        <v>783</v>
      </c>
      <c r="Q1530" t="s">
        <v>245</v>
      </c>
    </row>
    <row r="1531" spans="1:17" x14ac:dyDescent="0.25">
      <c r="A1531" t="s">
        <v>783</v>
      </c>
      <c r="B1531" t="s">
        <v>106</v>
      </c>
      <c r="C1531" s="4">
        <v>3.2699827490638341E-4</v>
      </c>
      <c r="D1531" s="4">
        <v>3.2699827490638341E-4</v>
      </c>
      <c r="E1531" s="4">
        <v>3.2699827490638341E-4</v>
      </c>
      <c r="F1531" s="4">
        <v>3.2699827490638341E-4</v>
      </c>
      <c r="G1531" s="4">
        <v>3.2699827490638341E-4</v>
      </c>
      <c r="H1531" s="4">
        <v>3.2699827490638341E-4</v>
      </c>
      <c r="I1531" s="4">
        <v>3.2699827490638341E-4</v>
      </c>
      <c r="J1531" s="4">
        <v>3.2699827490638341E-4</v>
      </c>
      <c r="K1531" s="4">
        <v>3.2699827490638341E-4</v>
      </c>
      <c r="L1531" s="4">
        <v>3.2699827490638341E-4</v>
      </c>
      <c r="M1531" s="4">
        <v>3.2699827490638341E-4</v>
      </c>
      <c r="N1531" t="s">
        <v>254</v>
      </c>
      <c r="O1531" t="s">
        <v>782</v>
      </c>
      <c r="P1531" t="s">
        <v>783</v>
      </c>
      <c r="Q1531" t="s">
        <v>245</v>
      </c>
    </row>
    <row r="1532" spans="1:17" x14ac:dyDescent="0.25">
      <c r="A1532" t="s">
        <v>783</v>
      </c>
      <c r="B1532" t="s">
        <v>107</v>
      </c>
      <c r="C1532" s="4">
        <v>2.0081959274142022E-2</v>
      </c>
      <c r="D1532" s="4">
        <v>2.0081959274142022E-2</v>
      </c>
      <c r="E1532" s="4">
        <v>2.0081959274142022E-2</v>
      </c>
      <c r="F1532" s="4">
        <v>2.0081959274142022E-2</v>
      </c>
      <c r="G1532" s="4">
        <v>2.0081959274142022E-2</v>
      </c>
      <c r="H1532" s="4">
        <v>2.0081959274142022E-2</v>
      </c>
      <c r="I1532" s="4">
        <v>2.0081959274142022E-2</v>
      </c>
      <c r="J1532" s="4">
        <v>2.0081959274142022E-2</v>
      </c>
      <c r="K1532" s="4">
        <v>2.0081959274142022E-2</v>
      </c>
      <c r="L1532" s="4">
        <v>2.0081959274142022E-2</v>
      </c>
      <c r="M1532" s="4">
        <v>2.0081959274142022E-2</v>
      </c>
      <c r="N1532" t="s">
        <v>254</v>
      </c>
      <c r="O1532" t="s">
        <v>782</v>
      </c>
      <c r="P1532" t="s">
        <v>783</v>
      </c>
      <c r="Q1532" t="s">
        <v>245</v>
      </c>
    </row>
    <row r="1533" spans="1:17" x14ac:dyDescent="0.25">
      <c r="A1533" t="s">
        <v>783</v>
      </c>
      <c r="B1533" t="s">
        <v>211</v>
      </c>
      <c r="C1533" s="4">
        <v>3.4777332835016399E-3</v>
      </c>
      <c r="D1533" s="4">
        <v>3.4777332835016399E-3</v>
      </c>
      <c r="E1533" s="4">
        <v>3.4777332835016399E-3</v>
      </c>
      <c r="F1533" s="4">
        <v>3.4777332835016399E-3</v>
      </c>
      <c r="G1533" s="4">
        <v>3.4777332835016399E-3</v>
      </c>
      <c r="H1533" s="4">
        <v>3.4777332835016399E-3</v>
      </c>
      <c r="I1533" s="4">
        <v>3.4777332835016399E-3</v>
      </c>
      <c r="J1533" s="4">
        <v>3.4777332835016399E-3</v>
      </c>
      <c r="K1533" s="4">
        <v>3.4777332835016399E-3</v>
      </c>
      <c r="L1533" s="4">
        <v>3.4777332835016399E-3</v>
      </c>
      <c r="M1533" s="4">
        <v>3.4777332835016399E-3</v>
      </c>
      <c r="N1533" t="s">
        <v>254</v>
      </c>
      <c r="O1533" t="s">
        <v>782</v>
      </c>
      <c r="P1533" t="s">
        <v>783</v>
      </c>
      <c r="Q1533" t="s">
        <v>245</v>
      </c>
    </row>
    <row r="1534" spans="1:17" x14ac:dyDescent="0.25">
      <c r="A1534" t="s">
        <v>783</v>
      </c>
      <c r="B1534" t="s">
        <v>112</v>
      </c>
      <c r="C1534" s="4">
        <v>1.2490445519155079E-2</v>
      </c>
      <c r="D1534" s="4">
        <v>1.2490445519155079E-2</v>
      </c>
      <c r="E1534" s="4">
        <v>1.2490445519155079E-2</v>
      </c>
      <c r="F1534" s="4">
        <v>1.2490445519155079E-2</v>
      </c>
      <c r="G1534" s="4">
        <v>1.2490445519155079E-2</v>
      </c>
      <c r="H1534" s="4">
        <v>1.2490445519155079E-2</v>
      </c>
      <c r="I1534" s="4">
        <v>1.2490445519155079E-2</v>
      </c>
      <c r="J1534" s="4">
        <v>1.2490445519155079E-2</v>
      </c>
      <c r="K1534" s="4">
        <v>1.2490445519155079E-2</v>
      </c>
      <c r="L1534" s="4">
        <v>1.2490445519155079E-2</v>
      </c>
      <c r="M1534" s="4">
        <v>1.2490445519155079E-2</v>
      </c>
      <c r="N1534" t="s">
        <v>254</v>
      </c>
      <c r="O1534" t="s">
        <v>782</v>
      </c>
      <c r="P1534" t="s">
        <v>783</v>
      </c>
      <c r="Q1534" t="s">
        <v>245</v>
      </c>
    </row>
    <row r="1535" spans="1:17" x14ac:dyDescent="0.25">
      <c r="A1535" t="s">
        <v>783</v>
      </c>
      <c r="B1535" t="s">
        <v>122</v>
      </c>
      <c r="C1535" s="4">
        <v>1.383611450697635E-2</v>
      </c>
      <c r="D1535" s="4">
        <v>1.383611450697635E-2</v>
      </c>
      <c r="E1535" s="4">
        <v>1.383611450697635E-2</v>
      </c>
      <c r="F1535" s="4">
        <v>1.383611450697635E-2</v>
      </c>
      <c r="G1535" s="4">
        <v>1.383611450697635E-2</v>
      </c>
      <c r="H1535" s="4">
        <v>1.383611450697635E-2</v>
      </c>
      <c r="I1535" s="4">
        <v>1.383611450697635E-2</v>
      </c>
      <c r="J1535" s="4">
        <v>1.383611450697635E-2</v>
      </c>
      <c r="K1535" s="4">
        <v>1.383611450697635E-2</v>
      </c>
      <c r="L1535" s="4">
        <v>1.383611450697635E-2</v>
      </c>
      <c r="M1535" s="4">
        <v>1.383611450697635E-2</v>
      </c>
      <c r="N1535" t="s">
        <v>254</v>
      </c>
      <c r="O1535" t="s">
        <v>782</v>
      </c>
      <c r="P1535" t="s">
        <v>783</v>
      </c>
      <c r="Q1535" t="s">
        <v>245</v>
      </c>
    </row>
    <row r="1536" spans="1:17" x14ac:dyDescent="0.25">
      <c r="A1536" t="s">
        <v>783</v>
      </c>
      <c r="B1536" t="s">
        <v>158</v>
      </c>
      <c r="C1536" s="4">
        <v>4.2669720546207972E-4</v>
      </c>
      <c r="D1536" s="4">
        <v>4.2669720546207972E-4</v>
      </c>
      <c r="E1536" s="4">
        <v>4.2669720546207972E-4</v>
      </c>
      <c r="F1536" s="4">
        <v>4.2669720546207972E-4</v>
      </c>
      <c r="G1536" s="4">
        <v>4.2669720546207972E-4</v>
      </c>
      <c r="H1536" s="4">
        <v>4.2669720546207972E-4</v>
      </c>
      <c r="I1536" s="4">
        <v>4.2669720546207972E-4</v>
      </c>
      <c r="J1536" s="4">
        <v>4.2669720546207972E-4</v>
      </c>
      <c r="K1536" s="4">
        <v>4.2669720546207972E-4</v>
      </c>
      <c r="L1536" s="4">
        <v>4.2669720546207972E-4</v>
      </c>
      <c r="M1536" s="4">
        <v>4.2669720546207972E-4</v>
      </c>
      <c r="N1536" t="s">
        <v>254</v>
      </c>
      <c r="O1536" t="s">
        <v>782</v>
      </c>
      <c r="P1536" t="s">
        <v>783</v>
      </c>
      <c r="Q1536" t="s">
        <v>245</v>
      </c>
    </row>
    <row r="1537" spans="1:18" x14ac:dyDescent="0.25">
      <c r="A1537" t="s">
        <v>740</v>
      </c>
      <c r="B1537" t="s">
        <v>91</v>
      </c>
      <c r="C1537" s="4">
        <v>0.49299999999999999</v>
      </c>
      <c r="D1537" s="4">
        <v>0.49299999999999999</v>
      </c>
      <c r="E1537" s="4">
        <v>0.49299999999999999</v>
      </c>
      <c r="F1537" s="4">
        <v>0.49299999999999999</v>
      </c>
      <c r="G1537" s="4">
        <v>0.49299999999999999</v>
      </c>
      <c r="H1537" s="4">
        <v>0.49299999999999999</v>
      </c>
      <c r="I1537" s="4">
        <v>0.49299999999999999</v>
      </c>
      <c r="J1537" s="4">
        <v>0.49299999999999999</v>
      </c>
      <c r="K1537" s="4">
        <v>0.49299999999999999</v>
      </c>
      <c r="L1537" s="4">
        <v>0.49299999999999999</v>
      </c>
      <c r="M1537" s="4">
        <v>0.49299999999999999</v>
      </c>
      <c r="N1537" t="s">
        <v>738</v>
      </c>
      <c r="O1537" t="s">
        <v>741</v>
      </c>
      <c r="P1537" t="s">
        <v>740</v>
      </c>
      <c r="Q1537" t="s">
        <v>245</v>
      </c>
    </row>
    <row r="1538" spans="1:18" x14ac:dyDescent="0.25">
      <c r="A1538" t="s">
        <v>737</v>
      </c>
      <c r="B1538" t="s">
        <v>91</v>
      </c>
      <c r="C1538" s="4">
        <v>0.49299999999999999</v>
      </c>
      <c r="D1538" s="4">
        <v>0.49299999999999999</v>
      </c>
      <c r="E1538" s="4">
        <v>0.49299999999999999</v>
      </c>
      <c r="F1538" s="4">
        <v>0.49299999999999999</v>
      </c>
      <c r="G1538" s="4">
        <v>0.49299999999999999</v>
      </c>
      <c r="H1538" s="4">
        <v>0.49299999999999999</v>
      </c>
      <c r="I1538" s="4">
        <v>0.49299999999999999</v>
      </c>
      <c r="J1538" s="4">
        <v>0.49299999999999999</v>
      </c>
      <c r="K1538" s="4">
        <v>0.49299999999999999</v>
      </c>
      <c r="L1538" s="4">
        <v>0.49299999999999999</v>
      </c>
      <c r="M1538" s="4">
        <v>0.49299999999999999</v>
      </c>
      <c r="N1538" t="s">
        <v>738</v>
      </c>
      <c r="O1538" t="s">
        <v>739</v>
      </c>
      <c r="P1538" t="s">
        <v>737</v>
      </c>
      <c r="Q1538" t="s">
        <v>245</v>
      </c>
    </row>
    <row r="1539" spans="1:18" x14ac:dyDescent="0.25">
      <c r="A1539" t="s">
        <v>740</v>
      </c>
      <c r="B1539" t="s">
        <v>122</v>
      </c>
      <c r="C1539" s="4">
        <v>1.4E-2</v>
      </c>
      <c r="D1539" s="4">
        <v>1.4E-2</v>
      </c>
      <c r="E1539" s="4">
        <v>1.4E-2</v>
      </c>
      <c r="F1539" s="4">
        <v>1.4E-2</v>
      </c>
      <c r="G1539" s="4">
        <v>1.4E-2</v>
      </c>
      <c r="H1539" s="4">
        <v>1.4E-2</v>
      </c>
      <c r="I1539" s="4">
        <v>1.4E-2</v>
      </c>
      <c r="J1539" s="4">
        <v>1.4E-2</v>
      </c>
      <c r="K1539" s="4">
        <v>1.4E-2</v>
      </c>
      <c r="L1539" s="4">
        <v>1.4E-2</v>
      </c>
      <c r="M1539" s="4">
        <v>1.4E-2</v>
      </c>
      <c r="N1539" t="s">
        <v>256</v>
      </c>
      <c r="O1539" t="s">
        <v>741</v>
      </c>
      <c r="P1539" t="s">
        <v>740</v>
      </c>
      <c r="Q1539" t="s">
        <v>245</v>
      </c>
    </row>
    <row r="1540" spans="1:18" x14ac:dyDescent="0.25">
      <c r="A1540" t="s">
        <v>737</v>
      </c>
      <c r="B1540" t="s">
        <v>122</v>
      </c>
      <c r="C1540" s="4">
        <v>1.4E-2</v>
      </c>
      <c r="D1540" s="4">
        <v>1.4E-2</v>
      </c>
      <c r="E1540" s="4">
        <v>1.4E-2</v>
      </c>
      <c r="F1540" s="4">
        <v>1.4E-2</v>
      </c>
      <c r="G1540" s="4">
        <v>1.4E-2</v>
      </c>
      <c r="H1540" s="4">
        <v>1.4E-2</v>
      </c>
      <c r="I1540" s="4">
        <v>1.4E-2</v>
      </c>
      <c r="J1540" s="4">
        <v>1.4E-2</v>
      </c>
      <c r="K1540" s="4">
        <v>1.4E-2</v>
      </c>
      <c r="L1540" s="4">
        <v>1.4E-2</v>
      </c>
      <c r="M1540" s="4">
        <v>1.4E-2</v>
      </c>
      <c r="N1540" t="s">
        <v>256</v>
      </c>
      <c r="O1540" t="s">
        <v>739</v>
      </c>
      <c r="P1540" t="s">
        <v>737</v>
      </c>
      <c r="Q1540" t="s">
        <v>245</v>
      </c>
    </row>
    <row r="1541" spans="1:18" x14ac:dyDescent="0.25">
      <c r="A1541" t="s">
        <v>740</v>
      </c>
      <c r="B1541" t="s">
        <v>86</v>
      </c>
      <c r="C1541" s="4">
        <v>2.8000000000000001E-2</v>
      </c>
      <c r="D1541" s="4">
        <v>2.8000000000000001E-2</v>
      </c>
      <c r="E1541" s="4">
        <v>2.8000000000000001E-2</v>
      </c>
      <c r="F1541" s="4">
        <v>2.8000000000000001E-2</v>
      </c>
      <c r="G1541" s="4">
        <v>2.8000000000000001E-2</v>
      </c>
      <c r="H1541" s="4">
        <v>2.8000000000000001E-2</v>
      </c>
      <c r="I1541" s="4">
        <v>2.8000000000000001E-2</v>
      </c>
      <c r="J1541" s="4">
        <v>2.8000000000000001E-2</v>
      </c>
      <c r="K1541" s="4">
        <v>2.8000000000000001E-2</v>
      </c>
      <c r="L1541" s="4">
        <v>2.8000000000000001E-2</v>
      </c>
      <c r="M1541" s="4">
        <v>2.8000000000000001E-2</v>
      </c>
      <c r="N1541" t="s">
        <v>256</v>
      </c>
      <c r="O1541" t="s">
        <v>741</v>
      </c>
      <c r="P1541" t="s">
        <v>740</v>
      </c>
      <c r="Q1541" t="s">
        <v>245</v>
      </c>
    </row>
    <row r="1542" spans="1:18" x14ac:dyDescent="0.25">
      <c r="A1542" t="s">
        <v>737</v>
      </c>
      <c r="B1542" t="s">
        <v>86</v>
      </c>
      <c r="C1542" s="4">
        <v>2.8000000000000001E-2</v>
      </c>
      <c r="D1542" s="4">
        <v>2.8000000000000001E-2</v>
      </c>
      <c r="E1542" s="4">
        <v>2.8000000000000001E-2</v>
      </c>
      <c r="F1542" s="4">
        <v>2.8000000000000001E-2</v>
      </c>
      <c r="G1542" s="4">
        <v>2.8000000000000001E-2</v>
      </c>
      <c r="H1542" s="4">
        <v>2.8000000000000001E-2</v>
      </c>
      <c r="I1542" s="4">
        <v>2.8000000000000001E-2</v>
      </c>
      <c r="J1542" s="4">
        <v>2.8000000000000001E-2</v>
      </c>
      <c r="K1542" s="4">
        <v>2.8000000000000001E-2</v>
      </c>
      <c r="L1542" s="4">
        <v>2.8000000000000001E-2</v>
      </c>
      <c r="M1542" s="4">
        <v>2.8000000000000001E-2</v>
      </c>
      <c r="N1542" t="s">
        <v>256</v>
      </c>
      <c r="O1542" t="s">
        <v>739</v>
      </c>
      <c r="P1542" t="s">
        <v>737</v>
      </c>
      <c r="Q1542" t="s">
        <v>245</v>
      </c>
    </row>
    <row r="1543" spans="1:18" x14ac:dyDescent="0.25">
      <c r="A1543" t="s">
        <v>740</v>
      </c>
      <c r="B1543" t="s">
        <v>107</v>
      </c>
      <c r="C1543" s="4">
        <v>2.8000000000000001E-2</v>
      </c>
      <c r="D1543" s="4">
        <v>2.8000000000000001E-2</v>
      </c>
      <c r="E1543" s="4">
        <v>2.8000000000000001E-2</v>
      </c>
      <c r="F1543" s="4">
        <v>2.8000000000000001E-2</v>
      </c>
      <c r="G1543" s="4">
        <v>2.8000000000000001E-2</v>
      </c>
      <c r="H1543" s="4">
        <v>2.8000000000000001E-2</v>
      </c>
      <c r="I1543" s="4">
        <v>2.8000000000000001E-2</v>
      </c>
      <c r="J1543" s="4">
        <v>2.8000000000000001E-2</v>
      </c>
      <c r="K1543" s="4">
        <v>2.8000000000000001E-2</v>
      </c>
      <c r="L1543" s="4">
        <v>2.8000000000000001E-2</v>
      </c>
      <c r="M1543" s="4">
        <v>2.8000000000000001E-2</v>
      </c>
      <c r="N1543" t="s">
        <v>256</v>
      </c>
      <c r="O1543" t="s">
        <v>741</v>
      </c>
      <c r="P1543" t="s">
        <v>740</v>
      </c>
      <c r="Q1543" t="s">
        <v>245</v>
      </c>
    </row>
    <row r="1544" spans="1:18" x14ac:dyDescent="0.25">
      <c r="A1544" t="s">
        <v>737</v>
      </c>
      <c r="B1544" t="s">
        <v>107</v>
      </c>
      <c r="C1544" s="4">
        <v>2.8000000000000001E-2</v>
      </c>
      <c r="D1544" s="4">
        <v>2.8000000000000001E-2</v>
      </c>
      <c r="E1544" s="4">
        <v>2.8000000000000001E-2</v>
      </c>
      <c r="F1544" s="4">
        <v>2.8000000000000001E-2</v>
      </c>
      <c r="G1544" s="4">
        <v>2.8000000000000001E-2</v>
      </c>
      <c r="H1544" s="4">
        <v>2.8000000000000001E-2</v>
      </c>
      <c r="I1544" s="4">
        <v>2.8000000000000001E-2</v>
      </c>
      <c r="J1544" s="4">
        <v>2.8000000000000001E-2</v>
      </c>
      <c r="K1544" s="4">
        <v>2.8000000000000001E-2</v>
      </c>
      <c r="L1544" s="4">
        <v>2.8000000000000001E-2</v>
      </c>
      <c r="M1544" s="4">
        <v>2.8000000000000001E-2</v>
      </c>
      <c r="N1544" t="s">
        <v>256</v>
      </c>
      <c r="O1544" t="s">
        <v>739</v>
      </c>
      <c r="P1544" t="s">
        <v>737</v>
      </c>
      <c r="Q1544" t="s">
        <v>245</v>
      </c>
    </row>
    <row r="1545" spans="1:18" x14ac:dyDescent="0.25">
      <c r="A1545" t="s">
        <v>740</v>
      </c>
      <c r="B1545" t="s">
        <v>113</v>
      </c>
      <c r="C1545" s="4">
        <v>0.437</v>
      </c>
      <c r="D1545" s="4">
        <v>0.437</v>
      </c>
      <c r="E1545" s="4">
        <v>0.437</v>
      </c>
      <c r="F1545" s="4">
        <v>0.437</v>
      </c>
      <c r="G1545" s="4">
        <v>0.437</v>
      </c>
      <c r="H1545" s="4">
        <v>0.437</v>
      </c>
      <c r="I1545" s="4">
        <v>0.437</v>
      </c>
      <c r="J1545" s="4">
        <v>0.437</v>
      </c>
      <c r="K1545" s="4">
        <v>0.437</v>
      </c>
      <c r="L1545" s="4">
        <v>0.437</v>
      </c>
      <c r="M1545" s="4">
        <v>0.437</v>
      </c>
      <c r="N1545" t="s">
        <v>256</v>
      </c>
      <c r="O1545" t="s">
        <v>741</v>
      </c>
      <c r="P1545" t="s">
        <v>740</v>
      </c>
      <c r="Q1545" t="s">
        <v>245</v>
      </c>
    </row>
    <row r="1546" spans="1:18" x14ac:dyDescent="0.25">
      <c r="A1546" t="s">
        <v>737</v>
      </c>
      <c r="B1546" t="s">
        <v>113</v>
      </c>
      <c r="C1546" s="4">
        <v>0.437</v>
      </c>
      <c r="D1546" s="4">
        <v>0.437</v>
      </c>
      <c r="E1546" s="4">
        <v>0.437</v>
      </c>
      <c r="F1546" s="4">
        <v>0.437</v>
      </c>
      <c r="G1546" s="4">
        <v>0.437</v>
      </c>
      <c r="H1546" s="4">
        <v>0.437</v>
      </c>
      <c r="I1546" s="4">
        <v>0.437</v>
      </c>
      <c r="J1546" s="4">
        <v>0.437</v>
      </c>
      <c r="K1546" s="4">
        <v>0.437</v>
      </c>
      <c r="L1546" s="4">
        <v>0.437</v>
      </c>
      <c r="M1546" s="4">
        <v>0.437</v>
      </c>
      <c r="N1546" t="s">
        <v>256</v>
      </c>
      <c r="O1546" t="s">
        <v>739</v>
      </c>
      <c r="P1546" t="s">
        <v>737</v>
      </c>
      <c r="Q1546" t="s">
        <v>245</v>
      </c>
    </row>
    <row r="1547" spans="1:18" x14ac:dyDescent="0.25">
      <c r="A1547" t="s">
        <v>362</v>
      </c>
      <c r="B1547" t="s">
        <v>163</v>
      </c>
      <c r="C1547" s="4">
        <v>2.5086079685194301E-2</v>
      </c>
      <c r="D1547" s="4">
        <v>2.5086079685194301E-2</v>
      </c>
      <c r="E1547" s="4">
        <v>2.5086079685194301E-2</v>
      </c>
      <c r="F1547" s="4">
        <v>2.5086079685194301E-2</v>
      </c>
      <c r="G1547" s="4">
        <v>2.5086079685194301E-2</v>
      </c>
      <c r="H1547" s="4">
        <v>2.5086079685194301E-2</v>
      </c>
      <c r="I1547" s="4">
        <v>2.5086079685194301E-2</v>
      </c>
      <c r="J1547" s="4">
        <v>2.5086079685194301E-2</v>
      </c>
      <c r="K1547" s="4">
        <v>2.5086079685194301E-2</v>
      </c>
      <c r="L1547" s="4">
        <v>2.5086079685194301E-2</v>
      </c>
      <c r="M1547" s="4">
        <v>2.5086079685194301E-2</v>
      </c>
      <c r="N1547" t="s">
        <v>333</v>
      </c>
      <c r="O1547" t="s">
        <v>361</v>
      </c>
      <c r="P1547" t="s">
        <v>362</v>
      </c>
      <c r="Q1547" t="s">
        <v>245</v>
      </c>
      <c r="R1547" t="s">
        <v>360</v>
      </c>
    </row>
    <row r="1548" spans="1:18" x14ac:dyDescent="0.25">
      <c r="A1548" t="s">
        <v>363</v>
      </c>
      <c r="B1548" t="s">
        <v>163</v>
      </c>
      <c r="C1548" s="4">
        <f t="shared" ref="C1548:M1548" si="957">(0.97265536032572/(0.97265536032572+0.0269012130849672)) *2.50860796851943%</f>
        <v>2.4410934332715482E-2</v>
      </c>
      <c r="D1548" s="4">
        <f t="shared" si="957"/>
        <v>2.4410934332715482E-2</v>
      </c>
      <c r="E1548" s="4">
        <f t="shared" si="957"/>
        <v>2.4410934332715482E-2</v>
      </c>
      <c r="F1548" s="4">
        <f t="shared" si="957"/>
        <v>2.4410934332715482E-2</v>
      </c>
      <c r="G1548" s="4">
        <f t="shared" si="957"/>
        <v>2.4410934332715482E-2</v>
      </c>
      <c r="H1548" s="4">
        <f t="shared" si="957"/>
        <v>2.4410934332715482E-2</v>
      </c>
      <c r="I1548" s="4">
        <f t="shared" si="957"/>
        <v>2.4410934332715482E-2</v>
      </c>
      <c r="J1548" s="4">
        <f t="shared" si="957"/>
        <v>2.4410934332715482E-2</v>
      </c>
      <c r="K1548" s="4">
        <f t="shared" si="957"/>
        <v>2.4410934332715482E-2</v>
      </c>
      <c r="L1548" s="4">
        <f t="shared" si="957"/>
        <v>2.4410934332715482E-2</v>
      </c>
      <c r="M1548" s="4">
        <f t="shared" si="957"/>
        <v>2.4410934332715482E-2</v>
      </c>
      <c r="N1548" t="s">
        <v>256</v>
      </c>
      <c r="O1548" t="s">
        <v>280</v>
      </c>
      <c r="P1548" t="s">
        <v>363</v>
      </c>
      <c r="Q1548" t="s">
        <v>245</v>
      </c>
      <c r="R1548" t="s">
        <v>364</v>
      </c>
    </row>
    <row r="1549" spans="1:18" s="6" customFormat="1" x14ac:dyDescent="0.25">
      <c r="A1549" t="s">
        <v>363</v>
      </c>
      <c r="B1549" t="s">
        <v>163</v>
      </c>
      <c r="C1549" s="4">
        <f t="shared" ref="C1549:M1549" si="958">(0.0269012130849672/(0.97265536032572+0.0269012130849672)) * 2.50860796851943%</f>
        <v>6.7514535247881896E-4</v>
      </c>
      <c r="D1549" s="4">
        <f t="shared" si="958"/>
        <v>6.7514535247881896E-4</v>
      </c>
      <c r="E1549" s="4">
        <f t="shared" si="958"/>
        <v>6.7514535247881896E-4</v>
      </c>
      <c r="F1549" s="4">
        <f t="shared" si="958"/>
        <v>6.7514535247881896E-4</v>
      </c>
      <c r="G1549" s="4">
        <f t="shared" si="958"/>
        <v>6.7514535247881896E-4</v>
      </c>
      <c r="H1549" s="4">
        <f t="shared" si="958"/>
        <v>6.7514535247881896E-4</v>
      </c>
      <c r="I1549" s="4">
        <f t="shared" si="958"/>
        <v>6.7514535247881896E-4</v>
      </c>
      <c r="J1549" s="4">
        <f t="shared" si="958"/>
        <v>6.7514535247881896E-4</v>
      </c>
      <c r="K1549" s="4">
        <f t="shared" si="958"/>
        <v>6.7514535247881896E-4</v>
      </c>
      <c r="L1549" s="4">
        <f t="shared" si="958"/>
        <v>6.7514535247881896E-4</v>
      </c>
      <c r="M1549" s="4">
        <f t="shared" si="958"/>
        <v>6.7514535247881896E-4</v>
      </c>
      <c r="N1549" s="6" t="s">
        <v>333</v>
      </c>
      <c r="O1549" s="6" t="s">
        <v>348</v>
      </c>
      <c r="P1549" s="6" t="s">
        <v>363</v>
      </c>
      <c r="Q1549" t="s">
        <v>245</v>
      </c>
    </row>
    <row r="1550" spans="1:18" x14ac:dyDescent="0.25">
      <c r="A1550" t="s">
        <v>362</v>
      </c>
      <c r="B1550" t="s">
        <v>85</v>
      </c>
      <c r="C1550" s="4">
        <v>6.1485489424495804E-3</v>
      </c>
      <c r="D1550" s="4">
        <v>6.1485489424495804E-3</v>
      </c>
      <c r="E1550" s="4">
        <v>6.1485489424495804E-3</v>
      </c>
      <c r="F1550" s="4">
        <v>6.1485489424495804E-3</v>
      </c>
      <c r="G1550" s="4">
        <v>6.1485489424495804E-3</v>
      </c>
      <c r="H1550" s="4">
        <v>6.1485489424495804E-3</v>
      </c>
      <c r="I1550" s="4">
        <v>6.1485489424495804E-3</v>
      </c>
      <c r="J1550" s="4">
        <v>6.1485489424495804E-3</v>
      </c>
      <c r="K1550" s="4">
        <v>6.1485489424495804E-3</v>
      </c>
      <c r="L1550" s="4">
        <v>6.1485489424495804E-3</v>
      </c>
      <c r="M1550" s="4">
        <v>6.1485489424495804E-3</v>
      </c>
      <c r="N1550" t="s">
        <v>256</v>
      </c>
      <c r="O1550" t="s">
        <v>361</v>
      </c>
      <c r="P1550" t="s">
        <v>362</v>
      </c>
      <c r="Q1550" t="s">
        <v>245</v>
      </c>
    </row>
    <row r="1551" spans="1:18" x14ac:dyDescent="0.25">
      <c r="A1551" t="s">
        <v>363</v>
      </c>
      <c r="B1551" t="s">
        <v>85</v>
      </c>
      <c r="C1551" s="4">
        <f t="shared" ref="C1551:M1551" si="959">(0.97265536032572/(0.97265536032572+0.0269012130849672)) * 0.614854894244958%</f>
        <v>5.9830721403714383E-3</v>
      </c>
      <c r="D1551" s="4">
        <f t="shared" si="959"/>
        <v>5.9830721403714383E-3</v>
      </c>
      <c r="E1551" s="4">
        <f t="shared" si="959"/>
        <v>5.9830721403714383E-3</v>
      </c>
      <c r="F1551" s="4">
        <f t="shared" si="959"/>
        <v>5.9830721403714383E-3</v>
      </c>
      <c r="G1551" s="4">
        <f t="shared" si="959"/>
        <v>5.9830721403714383E-3</v>
      </c>
      <c r="H1551" s="4">
        <f t="shared" si="959"/>
        <v>5.9830721403714383E-3</v>
      </c>
      <c r="I1551" s="4">
        <f t="shared" si="959"/>
        <v>5.9830721403714383E-3</v>
      </c>
      <c r="J1551" s="4">
        <f t="shared" si="959"/>
        <v>5.9830721403714383E-3</v>
      </c>
      <c r="K1551" s="4">
        <f t="shared" si="959"/>
        <v>5.9830721403714383E-3</v>
      </c>
      <c r="L1551" s="4">
        <f t="shared" si="959"/>
        <v>5.9830721403714383E-3</v>
      </c>
      <c r="M1551" s="4">
        <f t="shared" si="959"/>
        <v>5.9830721403714383E-3</v>
      </c>
      <c r="N1551" t="s">
        <v>256</v>
      </c>
      <c r="O1551" t="s">
        <v>280</v>
      </c>
      <c r="P1551" t="s">
        <v>363</v>
      </c>
      <c r="Q1551" t="s">
        <v>245</v>
      </c>
    </row>
    <row r="1552" spans="1:18" x14ac:dyDescent="0.25">
      <c r="A1552" t="s">
        <v>363</v>
      </c>
      <c r="B1552" t="s">
        <v>85</v>
      </c>
      <c r="C1552" s="4">
        <f t="shared" ref="C1552:M1552" si="960">(0.0269012130849672/(0.97265536032572+0.0269012130849672)) *0.614854894244958%</f>
        <v>1.6547680207814179E-4</v>
      </c>
      <c r="D1552" s="4">
        <f t="shared" si="960"/>
        <v>1.6547680207814179E-4</v>
      </c>
      <c r="E1552" s="4">
        <f t="shared" si="960"/>
        <v>1.6547680207814179E-4</v>
      </c>
      <c r="F1552" s="4">
        <f t="shared" si="960"/>
        <v>1.6547680207814179E-4</v>
      </c>
      <c r="G1552" s="4">
        <f t="shared" si="960"/>
        <v>1.6547680207814179E-4</v>
      </c>
      <c r="H1552" s="4">
        <f t="shared" si="960"/>
        <v>1.6547680207814179E-4</v>
      </c>
      <c r="I1552" s="4">
        <f t="shared" si="960"/>
        <v>1.6547680207814179E-4</v>
      </c>
      <c r="J1552" s="4">
        <f t="shared" si="960"/>
        <v>1.6547680207814179E-4</v>
      </c>
      <c r="K1552" s="4">
        <f t="shared" si="960"/>
        <v>1.6547680207814179E-4</v>
      </c>
      <c r="L1552" s="4">
        <f t="shared" si="960"/>
        <v>1.6547680207814179E-4</v>
      </c>
      <c r="M1552" s="4">
        <f t="shared" si="960"/>
        <v>1.6547680207814179E-4</v>
      </c>
      <c r="N1552" t="s">
        <v>256</v>
      </c>
      <c r="O1552" s="6" t="s">
        <v>348</v>
      </c>
      <c r="P1552" s="6" t="s">
        <v>363</v>
      </c>
      <c r="Q1552" t="s">
        <v>245</v>
      </c>
    </row>
    <row r="1553" spans="1:17" x14ac:dyDescent="0.25">
      <c r="A1553" t="s">
        <v>362</v>
      </c>
      <c r="B1553" t="s">
        <v>116</v>
      </c>
      <c r="C1553" s="4">
        <v>7.1569109690113097E-2</v>
      </c>
      <c r="D1553" s="4">
        <v>7.1569109690113097E-2</v>
      </c>
      <c r="E1553" s="4">
        <v>7.1569109690113097E-2</v>
      </c>
      <c r="F1553" s="4">
        <v>7.1569109690113097E-2</v>
      </c>
      <c r="G1553" s="4">
        <v>7.1569109690113097E-2</v>
      </c>
      <c r="H1553" s="4">
        <v>7.1569109690113097E-2</v>
      </c>
      <c r="I1553" s="4">
        <v>7.1569109690113097E-2</v>
      </c>
      <c r="J1553" s="4">
        <v>7.1569109690113097E-2</v>
      </c>
      <c r="K1553" s="4">
        <v>7.1569109690113097E-2</v>
      </c>
      <c r="L1553" s="4">
        <v>7.1569109690113097E-2</v>
      </c>
      <c r="M1553" s="4">
        <v>7.1569109690113097E-2</v>
      </c>
      <c r="N1553" t="s">
        <v>256</v>
      </c>
      <c r="O1553" t="s">
        <v>361</v>
      </c>
      <c r="P1553" t="s">
        <v>362</v>
      </c>
      <c r="Q1553" t="s">
        <v>245</v>
      </c>
    </row>
    <row r="1554" spans="1:17" x14ac:dyDescent="0.25">
      <c r="A1554" t="s">
        <v>363</v>
      </c>
      <c r="B1554" t="s">
        <v>116</v>
      </c>
      <c r="C1554" s="4">
        <f t="shared" ref="C1554:M1554" si="961">(0.97265536032572/(0.97265536032572+0.0269012130849672)) * 7.15691096901131%</f>
        <v>6.9642959713923536E-2</v>
      </c>
      <c r="D1554" s="4">
        <f t="shared" si="961"/>
        <v>6.9642959713923536E-2</v>
      </c>
      <c r="E1554" s="4">
        <f t="shared" si="961"/>
        <v>6.9642959713923536E-2</v>
      </c>
      <c r="F1554" s="4">
        <f t="shared" si="961"/>
        <v>6.9642959713923536E-2</v>
      </c>
      <c r="G1554" s="4">
        <f t="shared" si="961"/>
        <v>6.9642959713923536E-2</v>
      </c>
      <c r="H1554" s="4">
        <f t="shared" si="961"/>
        <v>6.9642959713923536E-2</v>
      </c>
      <c r="I1554" s="4">
        <f t="shared" si="961"/>
        <v>6.9642959713923536E-2</v>
      </c>
      <c r="J1554" s="4">
        <f t="shared" si="961"/>
        <v>6.9642959713923536E-2</v>
      </c>
      <c r="K1554" s="4">
        <f t="shared" si="961"/>
        <v>6.9642959713923536E-2</v>
      </c>
      <c r="L1554" s="4">
        <f t="shared" si="961"/>
        <v>6.9642959713923536E-2</v>
      </c>
      <c r="M1554" s="4">
        <f t="shared" si="961"/>
        <v>6.9642959713923536E-2</v>
      </c>
      <c r="N1554" t="s">
        <v>256</v>
      </c>
      <c r="O1554" t="s">
        <v>280</v>
      </c>
      <c r="P1554" t="s">
        <v>363</v>
      </c>
      <c r="Q1554" t="s">
        <v>245</v>
      </c>
    </row>
    <row r="1555" spans="1:17" x14ac:dyDescent="0.25">
      <c r="A1555" t="s">
        <v>363</v>
      </c>
      <c r="B1555" t="s">
        <v>116</v>
      </c>
      <c r="C1555" s="4">
        <f t="shared" ref="C1555:M1555" si="962">(0.0269012130849672/(0.97265536032572+0.0269012130849672)) * 7.15691096901131%</f>
        <v>1.9261499761895702E-3</v>
      </c>
      <c r="D1555" s="4">
        <f t="shared" si="962"/>
        <v>1.9261499761895702E-3</v>
      </c>
      <c r="E1555" s="4">
        <f t="shared" si="962"/>
        <v>1.9261499761895702E-3</v>
      </c>
      <c r="F1555" s="4">
        <f t="shared" si="962"/>
        <v>1.9261499761895702E-3</v>
      </c>
      <c r="G1555" s="4">
        <f t="shared" si="962"/>
        <v>1.9261499761895702E-3</v>
      </c>
      <c r="H1555" s="4">
        <f t="shared" si="962"/>
        <v>1.9261499761895702E-3</v>
      </c>
      <c r="I1555" s="4">
        <f t="shared" si="962"/>
        <v>1.9261499761895702E-3</v>
      </c>
      <c r="J1555" s="4">
        <f t="shared" si="962"/>
        <v>1.9261499761895702E-3</v>
      </c>
      <c r="K1555" s="4">
        <f t="shared" si="962"/>
        <v>1.9261499761895702E-3</v>
      </c>
      <c r="L1555" s="4">
        <f t="shared" si="962"/>
        <v>1.9261499761895702E-3</v>
      </c>
      <c r="M1555" s="4">
        <f t="shared" si="962"/>
        <v>1.9261499761895702E-3</v>
      </c>
      <c r="N1555" t="s">
        <v>256</v>
      </c>
      <c r="O1555" s="6" t="s">
        <v>348</v>
      </c>
      <c r="P1555" s="6" t="s">
        <v>363</v>
      </c>
      <c r="Q1555" t="s">
        <v>245</v>
      </c>
    </row>
    <row r="1556" spans="1:17" x14ac:dyDescent="0.25">
      <c r="A1556" t="s">
        <v>362</v>
      </c>
      <c r="B1556" t="s">
        <v>86</v>
      </c>
      <c r="C1556" s="4">
        <v>0.61362518445646796</v>
      </c>
      <c r="D1556" s="4">
        <v>0.61362518445646796</v>
      </c>
      <c r="E1556" s="4">
        <v>0.61362518445646796</v>
      </c>
      <c r="F1556" s="4">
        <v>0.61362518445646796</v>
      </c>
      <c r="G1556" s="4">
        <v>0.61362518445646796</v>
      </c>
      <c r="H1556" s="4">
        <v>0.61362518445646796</v>
      </c>
      <c r="I1556" s="4">
        <v>0.61362518445646796</v>
      </c>
      <c r="J1556" s="4">
        <v>0.61362518445646796</v>
      </c>
      <c r="K1556" s="4">
        <v>0.61362518445646796</v>
      </c>
      <c r="L1556" s="4">
        <v>0.61362518445646796</v>
      </c>
      <c r="M1556" s="4">
        <v>0.61362518445646796</v>
      </c>
      <c r="N1556" t="s">
        <v>256</v>
      </c>
      <c r="O1556" t="s">
        <v>361</v>
      </c>
      <c r="P1556" t="s">
        <v>362</v>
      </c>
      <c r="Q1556" t="s">
        <v>245</v>
      </c>
    </row>
    <row r="1557" spans="1:17" x14ac:dyDescent="0.25">
      <c r="A1557" t="s">
        <v>363</v>
      </c>
      <c r="B1557" t="s">
        <v>86</v>
      </c>
      <c r="C1557" s="4">
        <f t="shared" ref="C1557:M1557" si="963">(0.97265536032572/(0.97265536032572+0.0269012130849672)) *61.3625184456468%</f>
        <v>0.59711059960906943</v>
      </c>
      <c r="D1557" s="4">
        <f t="shared" si="963"/>
        <v>0.59711059960906943</v>
      </c>
      <c r="E1557" s="4">
        <f t="shared" si="963"/>
        <v>0.59711059960906943</v>
      </c>
      <c r="F1557" s="4">
        <f t="shared" si="963"/>
        <v>0.59711059960906943</v>
      </c>
      <c r="G1557" s="4">
        <f t="shared" si="963"/>
        <v>0.59711059960906943</v>
      </c>
      <c r="H1557" s="4">
        <f t="shared" si="963"/>
        <v>0.59711059960906943</v>
      </c>
      <c r="I1557" s="4">
        <f t="shared" si="963"/>
        <v>0.59711059960906943</v>
      </c>
      <c r="J1557" s="4">
        <f t="shared" si="963"/>
        <v>0.59711059960906943</v>
      </c>
      <c r="K1557" s="4">
        <f t="shared" si="963"/>
        <v>0.59711059960906943</v>
      </c>
      <c r="L1557" s="4">
        <f t="shared" si="963"/>
        <v>0.59711059960906943</v>
      </c>
      <c r="M1557" s="4">
        <f t="shared" si="963"/>
        <v>0.59711059960906943</v>
      </c>
      <c r="N1557" t="s">
        <v>256</v>
      </c>
      <c r="O1557" t="s">
        <v>280</v>
      </c>
      <c r="P1557" t="s">
        <v>363</v>
      </c>
      <c r="Q1557" t="s">
        <v>245</v>
      </c>
    </row>
    <row r="1558" spans="1:17" x14ac:dyDescent="0.25">
      <c r="A1558" t="s">
        <v>363</v>
      </c>
      <c r="B1558" t="s">
        <v>86</v>
      </c>
      <c r="C1558" s="4">
        <f t="shared" ref="C1558:M1558" si="964">(0.0269012130849672/(0.97265536032572+0.0269012130849672)) * 61.3625184456468%</f>
        <v>1.6514584847398549E-2</v>
      </c>
      <c r="D1558" s="4">
        <f t="shared" si="964"/>
        <v>1.6514584847398549E-2</v>
      </c>
      <c r="E1558" s="4">
        <f t="shared" si="964"/>
        <v>1.6514584847398549E-2</v>
      </c>
      <c r="F1558" s="4">
        <f t="shared" si="964"/>
        <v>1.6514584847398549E-2</v>
      </c>
      <c r="G1558" s="4">
        <f t="shared" si="964"/>
        <v>1.6514584847398549E-2</v>
      </c>
      <c r="H1558" s="4">
        <f t="shared" si="964"/>
        <v>1.6514584847398549E-2</v>
      </c>
      <c r="I1558" s="4">
        <f t="shared" si="964"/>
        <v>1.6514584847398549E-2</v>
      </c>
      <c r="J1558" s="4">
        <f t="shared" si="964"/>
        <v>1.6514584847398549E-2</v>
      </c>
      <c r="K1558" s="4">
        <f t="shared" si="964"/>
        <v>1.6514584847398549E-2</v>
      </c>
      <c r="L1558" s="4">
        <f t="shared" si="964"/>
        <v>1.6514584847398549E-2</v>
      </c>
      <c r="M1558" s="4">
        <f t="shared" si="964"/>
        <v>1.6514584847398549E-2</v>
      </c>
      <c r="N1558" t="s">
        <v>256</v>
      </c>
      <c r="O1558" s="6" t="s">
        <v>348</v>
      </c>
      <c r="P1558" s="6" t="s">
        <v>363</v>
      </c>
      <c r="Q1558" t="s">
        <v>245</v>
      </c>
    </row>
    <row r="1559" spans="1:17" x14ac:dyDescent="0.25">
      <c r="A1559" t="s">
        <v>362</v>
      </c>
      <c r="B1559" t="s">
        <v>91</v>
      </c>
      <c r="C1559" s="4">
        <v>4.5745204131824903E-2</v>
      </c>
      <c r="D1559" s="4">
        <v>4.5745204131824903E-2</v>
      </c>
      <c r="E1559" s="4">
        <v>4.5745204131824903E-2</v>
      </c>
      <c r="F1559" s="4">
        <v>4.5745204131824903E-2</v>
      </c>
      <c r="G1559" s="4">
        <v>4.5745204131824903E-2</v>
      </c>
      <c r="H1559" s="4">
        <v>4.5745204131824903E-2</v>
      </c>
      <c r="I1559" s="4">
        <v>4.5745204131824903E-2</v>
      </c>
      <c r="J1559" s="4">
        <v>4.5745204131824903E-2</v>
      </c>
      <c r="K1559" s="4">
        <v>4.5745204131824903E-2</v>
      </c>
      <c r="L1559" s="4">
        <v>4.5745204131824903E-2</v>
      </c>
      <c r="M1559" s="4">
        <v>4.5745204131824903E-2</v>
      </c>
      <c r="N1559" t="s">
        <v>333</v>
      </c>
      <c r="O1559" t="s">
        <v>361</v>
      </c>
      <c r="P1559" t="s">
        <v>362</v>
      </c>
      <c r="Q1559" t="s">
        <v>245</v>
      </c>
    </row>
    <row r="1560" spans="1:17" x14ac:dyDescent="0.25">
      <c r="A1560" t="s">
        <v>363</v>
      </c>
      <c r="B1560" t="s">
        <v>91</v>
      </c>
      <c r="C1560" s="4">
        <f t="shared" ref="C1560:M1560" si="965">(0.97265536032572/(0.97265536032572+0.0269012130849672)) * 4.57452041318249%</f>
        <v>4.4514056724363524E-2</v>
      </c>
      <c r="D1560" s="4">
        <f t="shared" si="965"/>
        <v>4.4514056724363524E-2</v>
      </c>
      <c r="E1560" s="4">
        <f t="shared" si="965"/>
        <v>4.4514056724363524E-2</v>
      </c>
      <c r="F1560" s="4">
        <f t="shared" si="965"/>
        <v>4.4514056724363524E-2</v>
      </c>
      <c r="G1560" s="4">
        <f t="shared" si="965"/>
        <v>4.4514056724363524E-2</v>
      </c>
      <c r="H1560" s="4">
        <f t="shared" si="965"/>
        <v>4.4514056724363524E-2</v>
      </c>
      <c r="I1560" s="4">
        <f t="shared" si="965"/>
        <v>4.4514056724363524E-2</v>
      </c>
      <c r="J1560" s="4">
        <f t="shared" si="965"/>
        <v>4.4514056724363524E-2</v>
      </c>
      <c r="K1560" s="4">
        <f t="shared" si="965"/>
        <v>4.4514056724363524E-2</v>
      </c>
      <c r="L1560" s="4">
        <f t="shared" si="965"/>
        <v>4.4514056724363524E-2</v>
      </c>
      <c r="M1560" s="4">
        <f t="shared" si="965"/>
        <v>4.4514056724363524E-2</v>
      </c>
      <c r="N1560" t="s">
        <v>256</v>
      </c>
      <c r="O1560" t="s">
        <v>280</v>
      </c>
      <c r="P1560" t="s">
        <v>363</v>
      </c>
      <c r="Q1560" t="s">
        <v>245</v>
      </c>
    </row>
    <row r="1561" spans="1:17" x14ac:dyDescent="0.25">
      <c r="A1561" t="s">
        <v>363</v>
      </c>
      <c r="B1561" t="s">
        <v>91</v>
      </c>
      <c r="C1561" s="4">
        <f t="shared" ref="C1561:M1561" si="966">(0.0269012130849672/(0.97265536032572+0.0269012130849672)) * 4.57452041318249%</f>
        <v>1.2311474074613755E-3</v>
      </c>
      <c r="D1561" s="4">
        <f t="shared" si="966"/>
        <v>1.2311474074613755E-3</v>
      </c>
      <c r="E1561" s="4">
        <f t="shared" si="966"/>
        <v>1.2311474074613755E-3</v>
      </c>
      <c r="F1561" s="4">
        <f t="shared" si="966"/>
        <v>1.2311474074613755E-3</v>
      </c>
      <c r="G1561" s="4">
        <f t="shared" si="966"/>
        <v>1.2311474074613755E-3</v>
      </c>
      <c r="H1561" s="4">
        <f t="shared" si="966"/>
        <v>1.2311474074613755E-3</v>
      </c>
      <c r="I1561" s="4">
        <f t="shared" si="966"/>
        <v>1.2311474074613755E-3</v>
      </c>
      <c r="J1561" s="4">
        <f t="shared" si="966"/>
        <v>1.2311474074613755E-3</v>
      </c>
      <c r="K1561" s="4">
        <f t="shared" si="966"/>
        <v>1.2311474074613755E-3</v>
      </c>
      <c r="L1561" s="4">
        <f t="shared" si="966"/>
        <v>1.2311474074613755E-3</v>
      </c>
      <c r="M1561" s="4">
        <f t="shared" si="966"/>
        <v>1.2311474074613755E-3</v>
      </c>
      <c r="N1561" s="6" t="s">
        <v>333</v>
      </c>
      <c r="O1561" s="6" t="s">
        <v>348</v>
      </c>
      <c r="P1561" s="6" t="s">
        <v>363</v>
      </c>
      <c r="Q1561" t="s">
        <v>245</v>
      </c>
    </row>
    <row r="1562" spans="1:17" x14ac:dyDescent="0.25">
      <c r="A1562" t="s">
        <v>362</v>
      </c>
      <c r="B1562" t="s">
        <v>182</v>
      </c>
      <c r="C1562" s="4">
        <v>6.1485489424495804E-3</v>
      </c>
      <c r="D1562" s="4">
        <v>6.1485489424495804E-3</v>
      </c>
      <c r="E1562" s="4">
        <v>6.1485489424495804E-3</v>
      </c>
      <c r="F1562" s="4">
        <v>6.1485489424495804E-3</v>
      </c>
      <c r="G1562" s="4">
        <v>6.1485489424495804E-3</v>
      </c>
      <c r="H1562" s="4">
        <v>6.1485489424495804E-3</v>
      </c>
      <c r="I1562" s="4">
        <v>6.1485489424495804E-3</v>
      </c>
      <c r="J1562" s="4">
        <v>6.1485489424495804E-3</v>
      </c>
      <c r="K1562" s="4">
        <v>6.1485489424495804E-3</v>
      </c>
      <c r="L1562" s="4">
        <v>6.1485489424495804E-3</v>
      </c>
      <c r="M1562" s="4">
        <v>6.1485489424495804E-3</v>
      </c>
      <c r="N1562" t="s">
        <v>333</v>
      </c>
      <c r="O1562" t="s">
        <v>361</v>
      </c>
      <c r="P1562" t="s">
        <v>362</v>
      </c>
      <c r="Q1562" t="s">
        <v>245</v>
      </c>
    </row>
    <row r="1563" spans="1:17" x14ac:dyDescent="0.25">
      <c r="A1563" t="s">
        <v>363</v>
      </c>
      <c r="B1563" t="s">
        <v>182</v>
      </c>
      <c r="C1563" s="4">
        <f t="shared" ref="C1563:M1563" si="967">(0.97265536032572/(0.97265536032572+0.0269012130849672)) * 0.614854894244958%</f>
        <v>5.9830721403714383E-3</v>
      </c>
      <c r="D1563" s="4">
        <f t="shared" si="967"/>
        <v>5.9830721403714383E-3</v>
      </c>
      <c r="E1563" s="4">
        <f t="shared" si="967"/>
        <v>5.9830721403714383E-3</v>
      </c>
      <c r="F1563" s="4">
        <f t="shared" si="967"/>
        <v>5.9830721403714383E-3</v>
      </c>
      <c r="G1563" s="4">
        <f t="shared" si="967"/>
        <v>5.9830721403714383E-3</v>
      </c>
      <c r="H1563" s="4">
        <f t="shared" si="967"/>
        <v>5.9830721403714383E-3</v>
      </c>
      <c r="I1563" s="4">
        <f t="shared" si="967"/>
        <v>5.9830721403714383E-3</v>
      </c>
      <c r="J1563" s="4">
        <f t="shared" si="967"/>
        <v>5.9830721403714383E-3</v>
      </c>
      <c r="K1563" s="4">
        <f t="shared" si="967"/>
        <v>5.9830721403714383E-3</v>
      </c>
      <c r="L1563" s="4">
        <f t="shared" si="967"/>
        <v>5.9830721403714383E-3</v>
      </c>
      <c r="M1563" s="4">
        <f t="shared" si="967"/>
        <v>5.9830721403714383E-3</v>
      </c>
      <c r="N1563" t="s">
        <v>256</v>
      </c>
      <c r="O1563" t="s">
        <v>280</v>
      </c>
      <c r="P1563" t="s">
        <v>363</v>
      </c>
      <c r="Q1563" t="s">
        <v>245</v>
      </c>
    </row>
    <row r="1564" spans="1:17" x14ac:dyDescent="0.25">
      <c r="A1564" t="s">
        <v>363</v>
      </c>
      <c r="B1564" t="s">
        <v>182</v>
      </c>
      <c r="C1564" s="4">
        <f t="shared" ref="C1564:M1564" si="968">(0.0269012130849672/(0.97265536032572+0.0269012130849672)) * 0.614854894244958%</f>
        <v>1.6547680207814179E-4</v>
      </c>
      <c r="D1564" s="4">
        <f t="shared" si="968"/>
        <v>1.6547680207814179E-4</v>
      </c>
      <c r="E1564" s="4">
        <f t="shared" si="968"/>
        <v>1.6547680207814179E-4</v>
      </c>
      <c r="F1564" s="4">
        <f t="shared" si="968"/>
        <v>1.6547680207814179E-4</v>
      </c>
      <c r="G1564" s="4">
        <f t="shared" si="968"/>
        <v>1.6547680207814179E-4</v>
      </c>
      <c r="H1564" s="4">
        <f t="shared" si="968"/>
        <v>1.6547680207814179E-4</v>
      </c>
      <c r="I1564" s="4">
        <f t="shared" si="968"/>
        <v>1.6547680207814179E-4</v>
      </c>
      <c r="J1564" s="4">
        <f t="shared" si="968"/>
        <v>1.6547680207814179E-4</v>
      </c>
      <c r="K1564" s="4">
        <f t="shared" si="968"/>
        <v>1.6547680207814179E-4</v>
      </c>
      <c r="L1564" s="4">
        <f t="shared" si="968"/>
        <v>1.6547680207814179E-4</v>
      </c>
      <c r="M1564" s="4">
        <f t="shared" si="968"/>
        <v>1.6547680207814179E-4</v>
      </c>
      <c r="N1564" s="6" t="s">
        <v>333</v>
      </c>
      <c r="O1564" s="6" t="s">
        <v>348</v>
      </c>
      <c r="P1564" s="6" t="s">
        <v>363</v>
      </c>
      <c r="Q1564" t="s">
        <v>245</v>
      </c>
    </row>
    <row r="1565" spans="1:17" x14ac:dyDescent="0.25">
      <c r="A1565" t="s">
        <v>362</v>
      </c>
      <c r="B1565" t="s">
        <v>119</v>
      </c>
      <c r="C1565" s="4">
        <v>8.6079685194294098E-2</v>
      </c>
      <c r="D1565" s="4">
        <v>8.6079685194294098E-2</v>
      </c>
      <c r="E1565" s="4">
        <v>8.6079685194294098E-2</v>
      </c>
      <c r="F1565" s="4">
        <v>8.6079685194294098E-2</v>
      </c>
      <c r="G1565" s="4">
        <v>8.6079685194294098E-2</v>
      </c>
      <c r="H1565" s="4">
        <v>8.6079685194294098E-2</v>
      </c>
      <c r="I1565" s="4">
        <v>8.6079685194294098E-2</v>
      </c>
      <c r="J1565" s="4">
        <v>8.6079685194294098E-2</v>
      </c>
      <c r="K1565" s="4">
        <v>8.6079685194294098E-2</v>
      </c>
      <c r="L1565" s="4">
        <v>8.6079685194294098E-2</v>
      </c>
      <c r="M1565" s="4">
        <v>8.6079685194294098E-2</v>
      </c>
      <c r="N1565" t="s">
        <v>256</v>
      </c>
      <c r="O1565" t="s">
        <v>361</v>
      </c>
      <c r="P1565" t="s">
        <v>362</v>
      </c>
      <c r="Q1565" t="s">
        <v>245</v>
      </c>
    </row>
    <row r="1566" spans="1:17" x14ac:dyDescent="0.25">
      <c r="A1566" t="s">
        <v>363</v>
      </c>
      <c r="B1566" t="s">
        <v>119</v>
      </c>
      <c r="C1566" s="4">
        <f t="shared" ref="C1566:M1566" si="969">(0.97265536032572/(0.97265536032572+0.0269012130849672)) * 8.60796851942941%</f>
        <v>8.3763009965200114E-2</v>
      </c>
      <c r="D1566" s="4">
        <f t="shared" si="969"/>
        <v>8.3763009965200114E-2</v>
      </c>
      <c r="E1566" s="4">
        <f t="shared" si="969"/>
        <v>8.3763009965200114E-2</v>
      </c>
      <c r="F1566" s="4">
        <f t="shared" si="969"/>
        <v>8.3763009965200114E-2</v>
      </c>
      <c r="G1566" s="4">
        <f t="shared" si="969"/>
        <v>8.3763009965200114E-2</v>
      </c>
      <c r="H1566" s="4">
        <f t="shared" si="969"/>
        <v>8.3763009965200114E-2</v>
      </c>
      <c r="I1566" s="4">
        <f t="shared" si="969"/>
        <v>8.3763009965200114E-2</v>
      </c>
      <c r="J1566" s="4">
        <f t="shared" si="969"/>
        <v>8.3763009965200114E-2</v>
      </c>
      <c r="K1566" s="4">
        <f t="shared" si="969"/>
        <v>8.3763009965200114E-2</v>
      </c>
      <c r="L1566" s="4">
        <f t="shared" si="969"/>
        <v>8.3763009965200114E-2</v>
      </c>
      <c r="M1566" s="4">
        <f t="shared" si="969"/>
        <v>8.3763009965200114E-2</v>
      </c>
      <c r="N1566" t="s">
        <v>256</v>
      </c>
      <c r="O1566" t="s">
        <v>280</v>
      </c>
      <c r="P1566" t="s">
        <v>363</v>
      </c>
      <c r="Q1566" t="s">
        <v>245</v>
      </c>
    </row>
    <row r="1567" spans="1:17" x14ac:dyDescent="0.25">
      <c r="A1567" t="s">
        <v>363</v>
      </c>
      <c r="B1567" t="s">
        <v>119</v>
      </c>
      <c r="C1567" s="4">
        <f t="shared" ref="C1567:M1567" si="970">(0.0269012130849672/(0.97265536032572+0.0269012130849672)) * 8.60796851942941%</f>
        <v>2.3166752290939845E-3</v>
      </c>
      <c r="D1567" s="4">
        <f t="shared" si="970"/>
        <v>2.3166752290939845E-3</v>
      </c>
      <c r="E1567" s="4">
        <f t="shared" si="970"/>
        <v>2.3166752290939845E-3</v>
      </c>
      <c r="F1567" s="4">
        <f t="shared" si="970"/>
        <v>2.3166752290939845E-3</v>
      </c>
      <c r="G1567" s="4">
        <f t="shared" si="970"/>
        <v>2.3166752290939845E-3</v>
      </c>
      <c r="H1567" s="4">
        <f t="shared" si="970"/>
        <v>2.3166752290939845E-3</v>
      </c>
      <c r="I1567" s="4">
        <f t="shared" si="970"/>
        <v>2.3166752290939845E-3</v>
      </c>
      <c r="J1567" s="4">
        <f t="shared" si="970"/>
        <v>2.3166752290939845E-3</v>
      </c>
      <c r="K1567" s="4">
        <f t="shared" si="970"/>
        <v>2.3166752290939845E-3</v>
      </c>
      <c r="L1567" s="4">
        <f t="shared" si="970"/>
        <v>2.3166752290939845E-3</v>
      </c>
      <c r="M1567" s="4">
        <f t="shared" si="970"/>
        <v>2.3166752290939845E-3</v>
      </c>
      <c r="N1567" t="s">
        <v>256</v>
      </c>
      <c r="O1567" s="6" t="s">
        <v>348</v>
      </c>
      <c r="P1567" s="6" t="s">
        <v>363</v>
      </c>
      <c r="Q1567" t="s">
        <v>245</v>
      </c>
    </row>
    <row r="1568" spans="1:17" x14ac:dyDescent="0.25">
      <c r="A1568" t="s">
        <v>362</v>
      </c>
      <c r="B1568" t="s">
        <v>148</v>
      </c>
      <c r="C1568" s="4">
        <v>0.122970978848992</v>
      </c>
      <c r="D1568" s="4">
        <v>0.122970978848992</v>
      </c>
      <c r="E1568" s="4">
        <v>0.122970978848992</v>
      </c>
      <c r="F1568" s="4">
        <v>0.122970978848992</v>
      </c>
      <c r="G1568" s="4">
        <v>0.122970978848992</v>
      </c>
      <c r="H1568" s="4">
        <v>0.122970978848992</v>
      </c>
      <c r="I1568" s="4">
        <v>0.122970978848992</v>
      </c>
      <c r="J1568" s="4">
        <v>0.122970978848992</v>
      </c>
      <c r="K1568" s="4">
        <v>0.122970978848992</v>
      </c>
      <c r="L1568" s="4">
        <v>0.122970978848992</v>
      </c>
      <c r="M1568" s="4">
        <v>0.122970978848992</v>
      </c>
      <c r="N1568" t="s">
        <v>256</v>
      </c>
      <c r="O1568" t="s">
        <v>361</v>
      </c>
      <c r="P1568" t="s">
        <v>362</v>
      </c>
      <c r="Q1568" t="s">
        <v>245</v>
      </c>
    </row>
    <row r="1569" spans="1:18" x14ac:dyDescent="0.25">
      <c r="A1569" t="s">
        <v>363</v>
      </c>
      <c r="B1569" t="s">
        <v>148</v>
      </c>
      <c r="C1569" s="4">
        <f t="shared" ref="C1569:M1569" si="971">(0.97265536032572/(0.97265536032572+0.0269012130849672)) * 12.2970978848992%</f>
        <v>0.11966144280742916</v>
      </c>
      <c r="D1569" s="4">
        <f t="shared" si="971"/>
        <v>0.11966144280742916</v>
      </c>
      <c r="E1569" s="4">
        <f t="shared" si="971"/>
        <v>0.11966144280742916</v>
      </c>
      <c r="F1569" s="4">
        <f t="shared" si="971"/>
        <v>0.11966144280742916</v>
      </c>
      <c r="G1569" s="4">
        <f t="shared" si="971"/>
        <v>0.11966144280742916</v>
      </c>
      <c r="H1569" s="4">
        <f t="shared" si="971"/>
        <v>0.11966144280742916</v>
      </c>
      <c r="I1569" s="4">
        <f t="shared" si="971"/>
        <v>0.11966144280742916</v>
      </c>
      <c r="J1569" s="4">
        <f t="shared" si="971"/>
        <v>0.11966144280742916</v>
      </c>
      <c r="K1569" s="4">
        <f t="shared" si="971"/>
        <v>0.11966144280742916</v>
      </c>
      <c r="L1569" s="4">
        <f t="shared" si="971"/>
        <v>0.11966144280742916</v>
      </c>
      <c r="M1569" s="4">
        <f t="shared" si="971"/>
        <v>0.11966144280742916</v>
      </c>
      <c r="N1569" t="s">
        <v>256</v>
      </c>
      <c r="O1569" t="s">
        <v>280</v>
      </c>
      <c r="P1569" t="s">
        <v>363</v>
      </c>
      <c r="Q1569" t="s">
        <v>245</v>
      </c>
    </row>
    <row r="1570" spans="1:18" x14ac:dyDescent="0.25">
      <c r="A1570" t="s">
        <v>363</v>
      </c>
      <c r="B1570" t="s">
        <v>148</v>
      </c>
      <c r="C1570" s="4">
        <f t="shared" ref="C1570:M1570" si="972">(0.0269012130849672/(0.97265536032572+0.0269012130849672)) *12.2970978848992%</f>
        <v>3.3095360415628466E-3</v>
      </c>
      <c r="D1570" s="4">
        <f t="shared" si="972"/>
        <v>3.3095360415628466E-3</v>
      </c>
      <c r="E1570" s="4">
        <f t="shared" si="972"/>
        <v>3.3095360415628466E-3</v>
      </c>
      <c r="F1570" s="4">
        <f t="shared" si="972"/>
        <v>3.3095360415628466E-3</v>
      </c>
      <c r="G1570" s="4">
        <f t="shared" si="972"/>
        <v>3.3095360415628466E-3</v>
      </c>
      <c r="H1570" s="4">
        <f t="shared" si="972"/>
        <v>3.3095360415628466E-3</v>
      </c>
      <c r="I1570" s="4">
        <f t="shared" si="972"/>
        <v>3.3095360415628466E-3</v>
      </c>
      <c r="J1570" s="4">
        <f t="shared" si="972"/>
        <v>3.3095360415628466E-3</v>
      </c>
      <c r="K1570" s="4">
        <f t="shared" si="972"/>
        <v>3.3095360415628466E-3</v>
      </c>
      <c r="L1570" s="4">
        <f t="shared" si="972"/>
        <v>3.3095360415628466E-3</v>
      </c>
      <c r="M1570" s="4">
        <f t="shared" si="972"/>
        <v>3.3095360415628466E-3</v>
      </c>
      <c r="N1570" t="s">
        <v>256</v>
      </c>
      <c r="O1570" s="6" t="s">
        <v>348</v>
      </c>
      <c r="P1570" s="6" t="s">
        <v>363</v>
      </c>
      <c r="Q1570" t="s">
        <v>245</v>
      </c>
    </row>
    <row r="1571" spans="1:18" x14ac:dyDescent="0.25">
      <c r="A1571" t="s">
        <v>362</v>
      </c>
      <c r="B1571" t="s">
        <v>146</v>
      </c>
      <c r="C1571" s="4">
        <v>1.40186915887851E-2</v>
      </c>
      <c r="D1571" s="4">
        <v>1.40186915887851E-2</v>
      </c>
      <c r="E1571" s="4">
        <v>1.40186915887851E-2</v>
      </c>
      <c r="F1571" s="4">
        <v>1.40186915887851E-2</v>
      </c>
      <c r="G1571" s="4">
        <v>1.40186915887851E-2</v>
      </c>
      <c r="H1571" s="4">
        <v>1.40186915887851E-2</v>
      </c>
      <c r="I1571" s="4">
        <v>1.40186915887851E-2</v>
      </c>
      <c r="J1571" s="4">
        <v>1.40186915887851E-2</v>
      </c>
      <c r="K1571" s="4">
        <v>1.40186915887851E-2</v>
      </c>
      <c r="L1571" s="4">
        <v>1.40186915887851E-2</v>
      </c>
      <c r="M1571" s="4">
        <v>1.40186915887851E-2</v>
      </c>
      <c r="N1571" t="s">
        <v>256</v>
      </c>
      <c r="O1571" t="s">
        <v>361</v>
      </c>
      <c r="P1571" t="s">
        <v>362</v>
      </c>
      <c r="Q1571" t="s">
        <v>245</v>
      </c>
    </row>
    <row r="1572" spans="1:18" x14ac:dyDescent="0.25">
      <c r="A1572" t="s">
        <v>363</v>
      </c>
      <c r="B1572" t="s">
        <v>146</v>
      </c>
      <c r="C1572" s="4">
        <f t="shared" ref="C1572:M1572" si="973">(0.97265536032572/(0.97265536032572+0.0269012130849672)) * 1.40186915887851%</f>
        <v>1.3641404480046934E-2</v>
      </c>
      <c r="D1572" s="4">
        <f t="shared" si="973"/>
        <v>1.3641404480046934E-2</v>
      </c>
      <c r="E1572" s="4">
        <f t="shared" si="973"/>
        <v>1.3641404480046934E-2</v>
      </c>
      <c r="F1572" s="4">
        <f t="shared" si="973"/>
        <v>1.3641404480046934E-2</v>
      </c>
      <c r="G1572" s="4">
        <f t="shared" si="973"/>
        <v>1.3641404480046934E-2</v>
      </c>
      <c r="H1572" s="4">
        <f t="shared" si="973"/>
        <v>1.3641404480046934E-2</v>
      </c>
      <c r="I1572" s="4">
        <f t="shared" si="973"/>
        <v>1.3641404480046934E-2</v>
      </c>
      <c r="J1572" s="4">
        <f t="shared" si="973"/>
        <v>1.3641404480046934E-2</v>
      </c>
      <c r="K1572" s="4">
        <f t="shared" si="973"/>
        <v>1.3641404480046934E-2</v>
      </c>
      <c r="L1572" s="4">
        <f t="shared" si="973"/>
        <v>1.3641404480046934E-2</v>
      </c>
      <c r="M1572" s="4">
        <f t="shared" si="973"/>
        <v>1.3641404480046934E-2</v>
      </c>
      <c r="N1572" t="s">
        <v>256</v>
      </c>
      <c r="O1572" t="s">
        <v>280</v>
      </c>
      <c r="P1572" t="s">
        <v>363</v>
      </c>
      <c r="Q1572" t="s">
        <v>245</v>
      </c>
    </row>
    <row r="1573" spans="1:18" x14ac:dyDescent="0.25">
      <c r="A1573" t="s">
        <v>363</v>
      </c>
      <c r="B1573" t="s">
        <v>146</v>
      </c>
      <c r="C1573" s="4">
        <f t="shared" ref="C1573:M1573" si="974">(0.0269012130849672/(0.97265536032572+0.0269012130849672)) * 1.40186915887851%</f>
        <v>3.7728710873816482E-4</v>
      </c>
      <c r="D1573" s="4">
        <f t="shared" si="974"/>
        <v>3.7728710873816482E-4</v>
      </c>
      <c r="E1573" s="4">
        <f t="shared" si="974"/>
        <v>3.7728710873816482E-4</v>
      </c>
      <c r="F1573" s="4">
        <f t="shared" si="974"/>
        <v>3.7728710873816482E-4</v>
      </c>
      <c r="G1573" s="4">
        <f t="shared" si="974"/>
        <v>3.7728710873816482E-4</v>
      </c>
      <c r="H1573" s="4">
        <f t="shared" si="974"/>
        <v>3.7728710873816482E-4</v>
      </c>
      <c r="I1573" s="4">
        <f t="shared" si="974"/>
        <v>3.7728710873816482E-4</v>
      </c>
      <c r="J1573" s="4">
        <f t="shared" si="974"/>
        <v>3.7728710873816482E-4</v>
      </c>
      <c r="K1573" s="4">
        <f t="shared" si="974"/>
        <v>3.7728710873816482E-4</v>
      </c>
      <c r="L1573" s="4">
        <f t="shared" si="974"/>
        <v>3.7728710873816482E-4</v>
      </c>
      <c r="M1573" s="4">
        <f t="shared" si="974"/>
        <v>3.7728710873816482E-4</v>
      </c>
      <c r="N1573" t="s">
        <v>256</v>
      </c>
      <c r="O1573" s="6" t="s">
        <v>348</v>
      </c>
      <c r="P1573" s="6" t="s">
        <v>363</v>
      </c>
      <c r="Q1573" t="s">
        <v>245</v>
      </c>
    </row>
    <row r="1574" spans="1:18" x14ac:dyDescent="0.25">
      <c r="A1574" t="s">
        <v>362</v>
      </c>
      <c r="B1574" t="s">
        <v>107</v>
      </c>
      <c r="C1574" s="4">
        <v>8.6079685194294202E-3</v>
      </c>
      <c r="D1574" s="4">
        <v>8.6079685194294202E-3</v>
      </c>
      <c r="E1574" s="4">
        <v>8.6079685194294202E-3</v>
      </c>
      <c r="F1574" s="4">
        <v>8.6079685194294202E-3</v>
      </c>
      <c r="G1574" s="4">
        <v>8.6079685194294202E-3</v>
      </c>
      <c r="H1574" s="4">
        <v>8.6079685194294202E-3</v>
      </c>
      <c r="I1574" s="4">
        <v>8.6079685194294202E-3</v>
      </c>
      <c r="J1574" s="4">
        <v>8.6079685194294202E-3</v>
      </c>
      <c r="K1574" s="4">
        <v>8.6079685194294202E-3</v>
      </c>
      <c r="L1574" s="4">
        <v>8.6079685194294202E-3</v>
      </c>
      <c r="M1574" s="4">
        <v>8.6079685194294202E-3</v>
      </c>
      <c r="N1574" t="s">
        <v>256</v>
      </c>
      <c r="O1574" t="s">
        <v>361</v>
      </c>
      <c r="P1574" t="s">
        <v>362</v>
      </c>
      <c r="Q1574" t="s">
        <v>245</v>
      </c>
    </row>
    <row r="1575" spans="1:18" x14ac:dyDescent="0.25">
      <c r="A1575" t="s">
        <v>363</v>
      </c>
      <c r="B1575" t="s">
        <v>107</v>
      </c>
      <c r="C1575" s="4">
        <f t="shared" ref="C1575:M1575" si="975">(0.97265536032572/(0.97265536032572+0.0269012130849672)) * 0.860796851942942%</f>
        <v>8.3763009965200225E-3</v>
      </c>
      <c r="D1575" s="4">
        <f t="shared" si="975"/>
        <v>8.3763009965200225E-3</v>
      </c>
      <c r="E1575" s="4">
        <f t="shared" si="975"/>
        <v>8.3763009965200225E-3</v>
      </c>
      <c r="F1575" s="4">
        <f t="shared" si="975"/>
        <v>8.3763009965200225E-3</v>
      </c>
      <c r="G1575" s="4">
        <f t="shared" si="975"/>
        <v>8.3763009965200225E-3</v>
      </c>
      <c r="H1575" s="4">
        <f t="shared" si="975"/>
        <v>8.3763009965200225E-3</v>
      </c>
      <c r="I1575" s="4">
        <f t="shared" si="975"/>
        <v>8.3763009965200225E-3</v>
      </c>
      <c r="J1575" s="4">
        <f t="shared" si="975"/>
        <v>8.3763009965200225E-3</v>
      </c>
      <c r="K1575" s="4">
        <f t="shared" si="975"/>
        <v>8.3763009965200225E-3</v>
      </c>
      <c r="L1575" s="4">
        <f t="shared" si="975"/>
        <v>8.3763009965200225E-3</v>
      </c>
      <c r="M1575" s="4">
        <f t="shared" si="975"/>
        <v>8.3763009965200225E-3</v>
      </c>
      <c r="N1575" t="s">
        <v>256</v>
      </c>
      <c r="O1575" t="s">
        <v>280</v>
      </c>
      <c r="P1575" t="s">
        <v>363</v>
      </c>
      <c r="Q1575" t="s">
        <v>245</v>
      </c>
    </row>
    <row r="1576" spans="1:18" x14ac:dyDescent="0.25">
      <c r="A1576" t="s">
        <v>363</v>
      </c>
      <c r="B1576" t="s">
        <v>107</v>
      </c>
      <c r="C1576" s="4">
        <f t="shared" ref="C1576:M1576" si="976">(0.0269012130849672/(0.97265536032572+0.0269012130849672)) * 0.860796851942942%</f>
        <v>2.3166752290939874E-4</v>
      </c>
      <c r="D1576" s="4">
        <f t="shared" si="976"/>
        <v>2.3166752290939874E-4</v>
      </c>
      <c r="E1576" s="4">
        <f t="shared" si="976"/>
        <v>2.3166752290939874E-4</v>
      </c>
      <c r="F1576" s="4">
        <f t="shared" si="976"/>
        <v>2.3166752290939874E-4</v>
      </c>
      <c r="G1576" s="4">
        <f t="shared" si="976"/>
        <v>2.3166752290939874E-4</v>
      </c>
      <c r="H1576" s="4">
        <f t="shared" si="976"/>
        <v>2.3166752290939874E-4</v>
      </c>
      <c r="I1576" s="4">
        <f t="shared" si="976"/>
        <v>2.3166752290939874E-4</v>
      </c>
      <c r="J1576" s="4">
        <f t="shared" si="976"/>
        <v>2.3166752290939874E-4</v>
      </c>
      <c r="K1576" s="4">
        <f t="shared" si="976"/>
        <v>2.3166752290939874E-4</v>
      </c>
      <c r="L1576" s="4">
        <f t="shared" si="976"/>
        <v>2.3166752290939874E-4</v>
      </c>
      <c r="M1576" s="4">
        <f t="shared" si="976"/>
        <v>2.3166752290939874E-4</v>
      </c>
      <c r="N1576" t="s">
        <v>256</v>
      </c>
      <c r="O1576" s="6" t="s">
        <v>348</v>
      </c>
      <c r="P1576" s="6" t="s">
        <v>363</v>
      </c>
      <c r="Q1576" t="s">
        <v>245</v>
      </c>
    </row>
    <row r="1577" spans="1:18" x14ac:dyDescent="0.25">
      <c r="A1577" t="s">
        <v>743</v>
      </c>
      <c r="B1577" t="s">
        <v>137</v>
      </c>
      <c r="C1577" s="4">
        <v>0.93500000000000005</v>
      </c>
      <c r="D1577" s="4">
        <v>0.93500000000000005</v>
      </c>
      <c r="E1577" s="4">
        <v>0.93500000000000005</v>
      </c>
      <c r="F1577" s="4">
        <v>0.93500000000000005</v>
      </c>
      <c r="G1577" s="4">
        <v>0.93500000000000005</v>
      </c>
      <c r="H1577" s="4">
        <v>0.93500000000000005</v>
      </c>
      <c r="I1577" s="4">
        <v>0.93500000000000005</v>
      </c>
      <c r="J1577" s="4">
        <v>0.93500000000000005</v>
      </c>
      <c r="K1577" s="4">
        <v>0.93500000000000005</v>
      </c>
      <c r="L1577" s="4">
        <v>0.93500000000000005</v>
      </c>
      <c r="M1577" s="4">
        <v>0.93500000000000005</v>
      </c>
      <c r="N1577" t="s">
        <v>320</v>
      </c>
      <c r="O1577" s="6" t="s">
        <v>337</v>
      </c>
      <c r="P1577" s="6" t="s">
        <v>743</v>
      </c>
      <c r="Q1577" t="s">
        <v>245</v>
      </c>
    </row>
    <row r="1578" spans="1:18" x14ac:dyDescent="0.25">
      <c r="A1578" t="s">
        <v>743</v>
      </c>
      <c r="B1578" t="s">
        <v>158</v>
      </c>
      <c r="C1578" s="4">
        <v>4.9000000000000002E-2</v>
      </c>
      <c r="D1578" s="4">
        <v>4.9000000000000002E-2</v>
      </c>
      <c r="E1578" s="4">
        <v>4.9000000000000002E-2</v>
      </c>
      <c r="F1578" s="4">
        <v>4.9000000000000002E-2</v>
      </c>
      <c r="G1578" s="4">
        <v>4.9000000000000002E-2</v>
      </c>
      <c r="H1578" s="4">
        <v>4.9000000000000002E-2</v>
      </c>
      <c r="I1578" s="4">
        <v>4.9000000000000002E-2</v>
      </c>
      <c r="J1578" s="4">
        <v>4.9000000000000002E-2</v>
      </c>
      <c r="K1578" s="4">
        <v>4.9000000000000002E-2</v>
      </c>
      <c r="L1578" s="4">
        <v>4.9000000000000002E-2</v>
      </c>
      <c r="M1578" s="4">
        <v>4.9000000000000002E-2</v>
      </c>
      <c r="N1578" t="s">
        <v>320</v>
      </c>
      <c r="O1578" s="6" t="s">
        <v>337</v>
      </c>
      <c r="P1578" s="6" t="s">
        <v>743</v>
      </c>
      <c r="Q1578" t="s">
        <v>245</v>
      </c>
    </row>
    <row r="1579" spans="1:18" x14ac:dyDescent="0.25">
      <c r="A1579" t="s">
        <v>743</v>
      </c>
      <c r="B1579" t="s">
        <v>116</v>
      </c>
      <c r="C1579" s="4">
        <v>1.4999999999999999E-2</v>
      </c>
      <c r="D1579" s="4">
        <v>1.4999999999999999E-2</v>
      </c>
      <c r="E1579" s="4">
        <v>1.4999999999999999E-2</v>
      </c>
      <c r="F1579" s="4">
        <v>1.4999999999999999E-2</v>
      </c>
      <c r="G1579" s="4">
        <v>1.4999999999999999E-2</v>
      </c>
      <c r="H1579" s="4">
        <v>1.4999999999999999E-2</v>
      </c>
      <c r="I1579" s="4">
        <v>1.4999999999999999E-2</v>
      </c>
      <c r="J1579" s="4">
        <v>1.4999999999999999E-2</v>
      </c>
      <c r="K1579" s="4">
        <v>1.4999999999999999E-2</v>
      </c>
      <c r="L1579" s="4">
        <v>1.4999999999999999E-2</v>
      </c>
      <c r="M1579" s="4">
        <v>1.4999999999999999E-2</v>
      </c>
      <c r="N1579" t="s">
        <v>312</v>
      </c>
      <c r="O1579" s="6" t="s">
        <v>337</v>
      </c>
      <c r="P1579" s="6" t="s">
        <v>743</v>
      </c>
      <c r="Q1579" t="s">
        <v>245</v>
      </c>
    </row>
    <row r="1580" spans="1:18" x14ac:dyDescent="0.25">
      <c r="A1580" t="s">
        <v>743</v>
      </c>
      <c r="B1580" t="s">
        <v>107</v>
      </c>
      <c r="C1580" s="4">
        <v>1E-3</v>
      </c>
      <c r="D1580" s="4">
        <v>1E-3</v>
      </c>
      <c r="E1580" s="4">
        <v>1E-3</v>
      </c>
      <c r="F1580" s="4">
        <v>1E-3</v>
      </c>
      <c r="G1580" s="4">
        <v>1E-3</v>
      </c>
      <c r="H1580" s="4">
        <v>1E-3</v>
      </c>
      <c r="I1580" s="4">
        <v>1E-3</v>
      </c>
      <c r="J1580" s="4">
        <v>1E-3</v>
      </c>
      <c r="K1580" s="4">
        <v>1E-3</v>
      </c>
      <c r="L1580" s="4">
        <v>1E-3</v>
      </c>
      <c r="M1580" s="4">
        <v>1E-3</v>
      </c>
      <c r="N1580" t="s">
        <v>312</v>
      </c>
      <c r="O1580" s="6" t="s">
        <v>337</v>
      </c>
      <c r="P1580" s="6" t="s">
        <v>743</v>
      </c>
      <c r="Q1580" t="s">
        <v>245</v>
      </c>
    </row>
    <row r="1581" spans="1:18" x14ac:dyDescent="0.25">
      <c r="A1581" t="s">
        <v>468</v>
      </c>
      <c r="B1581" t="s">
        <v>183</v>
      </c>
      <c r="C1581" s="4">
        <v>2.6783205307300429E-4</v>
      </c>
      <c r="D1581" s="4">
        <v>2.6783205307300429E-4</v>
      </c>
      <c r="E1581" s="4">
        <v>2.6783205307300429E-4</v>
      </c>
      <c r="F1581" s="4">
        <v>2.6783205307300429E-4</v>
      </c>
      <c r="G1581" s="4">
        <v>2.6783205307300429E-4</v>
      </c>
      <c r="H1581" s="4">
        <v>2.6783205307300429E-4</v>
      </c>
      <c r="I1581" s="4">
        <v>2.6783205307300429E-4</v>
      </c>
      <c r="J1581" s="4">
        <v>2.6783205307300429E-4</v>
      </c>
      <c r="K1581" s="4">
        <v>2.6783205307300429E-4</v>
      </c>
      <c r="L1581" s="4">
        <v>2.6783205307300429E-4</v>
      </c>
      <c r="M1581" s="4">
        <v>2.6783205307300429E-4</v>
      </c>
      <c r="N1581" t="s">
        <v>256</v>
      </c>
      <c r="O1581" t="s">
        <v>461</v>
      </c>
      <c r="P1581" t="s">
        <v>468</v>
      </c>
      <c r="Q1581" t="s">
        <v>245</v>
      </c>
      <c r="R1581" t="s">
        <v>460</v>
      </c>
    </row>
    <row r="1582" spans="1:18" x14ac:dyDescent="0.25">
      <c r="A1582" t="s">
        <v>468</v>
      </c>
      <c r="B1582" t="s">
        <v>83</v>
      </c>
      <c r="C1582" s="4">
        <v>0.29341971785810372</v>
      </c>
      <c r="D1582" s="4">
        <v>0.29341971785810372</v>
      </c>
      <c r="E1582" s="4">
        <v>0.29341971785810372</v>
      </c>
      <c r="F1582" s="4">
        <v>0.29341971785810372</v>
      </c>
      <c r="G1582" s="4">
        <v>0.29341971785810372</v>
      </c>
      <c r="H1582" s="4">
        <v>0.29341971785810372</v>
      </c>
      <c r="I1582" s="4">
        <v>0.29341971785810372</v>
      </c>
      <c r="J1582" s="4">
        <v>0.29341971785810372</v>
      </c>
      <c r="K1582" s="4">
        <v>0.29341971785810372</v>
      </c>
      <c r="L1582" s="4">
        <v>0.29341971785810372</v>
      </c>
      <c r="M1582" s="4">
        <v>0.29341971785810372</v>
      </c>
      <c r="N1582" t="s">
        <v>256</v>
      </c>
      <c r="O1582" t="s">
        <v>461</v>
      </c>
      <c r="P1582" t="s">
        <v>468</v>
      </c>
      <c r="Q1582" t="s">
        <v>245</v>
      </c>
    </row>
    <row r="1583" spans="1:18" x14ac:dyDescent="0.25">
      <c r="A1583" t="s">
        <v>468</v>
      </c>
      <c r="B1583" t="s">
        <v>181</v>
      </c>
      <c r="C1583" s="4">
        <v>9.927026603377769E-4</v>
      </c>
      <c r="D1583" s="4">
        <v>9.927026603377769E-4</v>
      </c>
      <c r="E1583" s="4">
        <v>9.927026603377769E-4</v>
      </c>
      <c r="F1583" s="4">
        <v>9.927026603377769E-4</v>
      </c>
      <c r="G1583" s="4">
        <v>9.927026603377769E-4</v>
      </c>
      <c r="H1583" s="4">
        <v>9.927026603377769E-4</v>
      </c>
      <c r="I1583" s="4">
        <v>9.927026603377769E-4</v>
      </c>
      <c r="J1583" s="4">
        <v>9.927026603377769E-4</v>
      </c>
      <c r="K1583" s="4">
        <v>9.927026603377769E-4</v>
      </c>
      <c r="L1583" s="4">
        <v>9.927026603377769E-4</v>
      </c>
      <c r="M1583" s="4">
        <v>9.927026603377769E-4</v>
      </c>
      <c r="N1583" t="s">
        <v>256</v>
      </c>
      <c r="O1583" t="s">
        <v>461</v>
      </c>
      <c r="P1583" t="s">
        <v>468</v>
      </c>
      <c r="Q1583" t="s">
        <v>245</v>
      </c>
    </row>
    <row r="1584" spans="1:18" x14ac:dyDescent="0.25">
      <c r="A1584" t="s">
        <v>468</v>
      </c>
      <c r="B1584" t="s">
        <v>212</v>
      </c>
      <c r="C1584" s="4">
        <v>9.5730274931144284E-6</v>
      </c>
      <c r="D1584" s="4">
        <v>9.5730274931144284E-6</v>
      </c>
      <c r="E1584" s="4">
        <v>9.5730274931144284E-6</v>
      </c>
      <c r="F1584" s="4">
        <v>9.5730274931144284E-6</v>
      </c>
      <c r="G1584" s="4">
        <v>9.5730274931144284E-6</v>
      </c>
      <c r="H1584" s="4">
        <v>9.5730274931144284E-6</v>
      </c>
      <c r="I1584" s="4">
        <v>9.5730274931144284E-6</v>
      </c>
      <c r="J1584" s="4">
        <v>9.5730274931144284E-6</v>
      </c>
      <c r="K1584" s="4">
        <v>9.5730274931144284E-6</v>
      </c>
      <c r="L1584" s="4">
        <v>9.5730274931144284E-6</v>
      </c>
      <c r="M1584" s="4">
        <v>9.5730274931144284E-6</v>
      </c>
      <c r="N1584" t="s">
        <v>256</v>
      </c>
      <c r="O1584" t="s">
        <v>461</v>
      </c>
      <c r="P1584" t="s">
        <v>468</v>
      </c>
      <c r="Q1584" t="s">
        <v>245</v>
      </c>
    </row>
    <row r="1585" spans="1:18" x14ac:dyDescent="0.25">
      <c r="A1585" t="s">
        <v>468</v>
      </c>
      <c r="B1585" t="s">
        <v>144</v>
      </c>
      <c r="C1585" s="4">
        <v>1.5806157015486439E-5</v>
      </c>
      <c r="D1585" s="4">
        <v>1.5806157015486439E-5</v>
      </c>
      <c r="E1585" s="4">
        <v>1.5806157015486439E-5</v>
      </c>
      <c r="F1585" s="4">
        <v>1.5806157015486439E-5</v>
      </c>
      <c r="G1585" s="4">
        <v>1.5806157015486439E-5</v>
      </c>
      <c r="H1585" s="4">
        <v>1.5806157015486439E-5</v>
      </c>
      <c r="I1585" s="4">
        <v>1.5806157015486439E-5</v>
      </c>
      <c r="J1585" s="4">
        <v>1.5806157015486439E-5</v>
      </c>
      <c r="K1585" s="4">
        <v>1.5806157015486439E-5</v>
      </c>
      <c r="L1585" s="4">
        <v>1.5806157015486439E-5</v>
      </c>
      <c r="M1585" s="4">
        <v>1.5806157015486439E-5</v>
      </c>
      <c r="N1585" t="s">
        <v>256</v>
      </c>
      <c r="O1585" t="s">
        <v>461</v>
      </c>
      <c r="P1585" t="s">
        <v>468</v>
      </c>
      <c r="Q1585" t="s">
        <v>245</v>
      </c>
    </row>
    <row r="1586" spans="1:18" x14ac:dyDescent="0.25">
      <c r="A1586" t="s">
        <v>468</v>
      </c>
      <c r="B1586" t="s">
        <v>84</v>
      </c>
      <c r="C1586" s="4">
        <v>4.7977246154582532E-4</v>
      </c>
      <c r="D1586" s="4">
        <v>4.7977246154582532E-4</v>
      </c>
      <c r="E1586" s="4">
        <v>4.7977246154582532E-4</v>
      </c>
      <c r="F1586" s="4">
        <v>4.7977246154582532E-4</v>
      </c>
      <c r="G1586" s="4">
        <v>4.7977246154582532E-4</v>
      </c>
      <c r="H1586" s="4">
        <v>4.7977246154582532E-4</v>
      </c>
      <c r="I1586" s="4">
        <v>4.7977246154582532E-4</v>
      </c>
      <c r="J1586" s="4">
        <v>4.7977246154582532E-4</v>
      </c>
      <c r="K1586" s="4">
        <v>4.7977246154582532E-4</v>
      </c>
      <c r="L1586" s="4">
        <v>4.7977246154582532E-4</v>
      </c>
      <c r="M1586" s="4">
        <v>4.7977246154582532E-4</v>
      </c>
      <c r="N1586" t="s">
        <v>256</v>
      </c>
      <c r="O1586" t="s">
        <v>461</v>
      </c>
      <c r="P1586" t="s">
        <v>468</v>
      </c>
      <c r="Q1586" t="s">
        <v>245</v>
      </c>
    </row>
    <row r="1587" spans="1:18" x14ac:dyDescent="0.25">
      <c r="A1587" t="s">
        <v>468</v>
      </c>
      <c r="B1587" t="s">
        <v>85</v>
      </c>
      <c r="C1587" s="4">
        <v>0.13678655690146471</v>
      </c>
      <c r="D1587" s="4">
        <v>0.13678655690146471</v>
      </c>
      <c r="E1587" s="4">
        <v>0.13678655690146471</v>
      </c>
      <c r="F1587" s="4">
        <v>0.13678655690146471</v>
      </c>
      <c r="G1587" s="4">
        <v>0.13678655690146471</v>
      </c>
      <c r="H1587" s="4">
        <v>0.13678655690146471</v>
      </c>
      <c r="I1587" s="4">
        <v>0.13678655690146471</v>
      </c>
      <c r="J1587" s="4">
        <v>0.13678655690146471</v>
      </c>
      <c r="K1587" s="4">
        <v>0.13678655690146471</v>
      </c>
      <c r="L1587" s="4">
        <v>0.13678655690146471</v>
      </c>
      <c r="M1587" s="4">
        <v>0.13678655690146471</v>
      </c>
      <c r="N1587" t="s">
        <v>435</v>
      </c>
      <c r="O1587" t="s">
        <v>437</v>
      </c>
      <c r="P1587" t="s">
        <v>468</v>
      </c>
      <c r="Q1587" t="s">
        <v>245</v>
      </c>
    </row>
    <row r="1588" spans="1:18" x14ac:dyDescent="0.25">
      <c r="A1588" t="s">
        <v>468</v>
      </c>
      <c r="B1588" t="s">
        <v>116</v>
      </c>
      <c r="C1588" s="4">
        <v>1.8119540239443479E-2</v>
      </c>
      <c r="D1588" s="4">
        <v>1.8119540239443479E-2</v>
      </c>
      <c r="E1588" s="4">
        <v>1.8119540239443479E-2</v>
      </c>
      <c r="F1588" s="4">
        <v>1.8119540239443479E-2</v>
      </c>
      <c r="G1588" s="4">
        <v>1.8119540239443479E-2</v>
      </c>
      <c r="H1588" s="4">
        <v>1.8119540239443479E-2</v>
      </c>
      <c r="I1588" s="4">
        <v>1.8119540239443479E-2</v>
      </c>
      <c r="J1588" s="4">
        <v>1.8119540239443479E-2</v>
      </c>
      <c r="K1588" s="4">
        <v>1.8119540239443479E-2</v>
      </c>
      <c r="L1588" s="4">
        <v>1.8119540239443479E-2</v>
      </c>
      <c r="M1588" s="4">
        <v>1.8119540239443479E-2</v>
      </c>
      <c r="N1588" t="s">
        <v>288</v>
      </c>
      <c r="O1588" t="s">
        <v>469</v>
      </c>
      <c r="P1588" t="s">
        <v>468</v>
      </c>
      <c r="Q1588" t="s">
        <v>245</v>
      </c>
    </row>
    <row r="1589" spans="1:18" x14ac:dyDescent="0.25">
      <c r="A1589" t="s">
        <v>468</v>
      </c>
      <c r="B1589" t="s">
        <v>145</v>
      </c>
      <c r="C1589" s="4">
        <v>4.8928721136570494E-3</v>
      </c>
      <c r="D1589" s="4">
        <v>4.8928721136570494E-3</v>
      </c>
      <c r="E1589" s="4">
        <v>4.8928721136570494E-3</v>
      </c>
      <c r="F1589" s="4">
        <v>4.8928721136570494E-3</v>
      </c>
      <c r="G1589" s="4">
        <v>4.8928721136570494E-3</v>
      </c>
      <c r="H1589" s="4">
        <v>4.8928721136570494E-3</v>
      </c>
      <c r="I1589" s="4">
        <v>4.8928721136570494E-3</v>
      </c>
      <c r="J1589" s="4">
        <v>4.8928721136570494E-3</v>
      </c>
      <c r="K1589" s="4">
        <v>4.8928721136570494E-3</v>
      </c>
      <c r="L1589" s="4">
        <v>4.8928721136570494E-3</v>
      </c>
      <c r="M1589" s="4">
        <v>4.8928721136570494E-3</v>
      </c>
      <c r="N1589" t="s">
        <v>256</v>
      </c>
      <c r="O1589" t="s">
        <v>461</v>
      </c>
      <c r="P1589" t="s">
        <v>468</v>
      </c>
      <c r="Q1589" t="s">
        <v>245</v>
      </c>
    </row>
    <row r="1590" spans="1:18" x14ac:dyDescent="0.25">
      <c r="A1590" t="s">
        <v>468</v>
      </c>
      <c r="B1590" t="s">
        <v>86</v>
      </c>
      <c r="C1590" s="4">
        <f t="shared" ref="C1590:M1590" si="977" xml:space="preserve"> (0.0075812778161116/ (0.330538489833607 * 0.909423121018547  + 0.0075812778161116 + 0.0053783839453516 + 0.000498720250908245 + 4.29106402225506E-07)) * 0.292492156922487</f>
        <v>7.060680505088698E-3</v>
      </c>
      <c r="D1590" s="4">
        <f t="shared" si="977"/>
        <v>7.060680505088698E-3</v>
      </c>
      <c r="E1590" s="4">
        <f t="shared" si="977"/>
        <v>7.060680505088698E-3</v>
      </c>
      <c r="F1590" s="4">
        <f t="shared" si="977"/>
        <v>7.060680505088698E-3</v>
      </c>
      <c r="G1590" s="4">
        <f t="shared" si="977"/>
        <v>7.060680505088698E-3</v>
      </c>
      <c r="H1590" s="4">
        <f t="shared" si="977"/>
        <v>7.060680505088698E-3</v>
      </c>
      <c r="I1590" s="4">
        <f t="shared" si="977"/>
        <v>7.060680505088698E-3</v>
      </c>
      <c r="J1590" s="4">
        <f t="shared" si="977"/>
        <v>7.060680505088698E-3</v>
      </c>
      <c r="K1590" s="4">
        <f t="shared" si="977"/>
        <v>7.060680505088698E-3</v>
      </c>
      <c r="L1590" s="4">
        <f t="shared" si="977"/>
        <v>7.060680505088698E-3</v>
      </c>
      <c r="M1590" s="4">
        <f t="shared" si="977"/>
        <v>7.060680505088698E-3</v>
      </c>
      <c r="N1590" t="s">
        <v>254</v>
      </c>
      <c r="O1590" t="s">
        <v>510</v>
      </c>
      <c r="P1590" t="s">
        <v>468</v>
      </c>
      <c r="Q1590" t="s">
        <v>245</v>
      </c>
    </row>
    <row r="1591" spans="1:18" x14ac:dyDescent="0.25">
      <c r="A1591" t="s">
        <v>468</v>
      </c>
      <c r="B1591" t="s">
        <v>86</v>
      </c>
      <c r="C1591" s="4">
        <f t="shared" ref="C1591:M1591" si="978" xml:space="preserve"> (0.0053783839453516/ (0.330538489833607 * 0.909423121018547  + 0.0075812778161116 + 0.0053783839453516 + 0.000498720250908245 + 4.29106402225506E-07))* 0.292492156922487</f>
        <v>5.0090567306638155E-3</v>
      </c>
      <c r="D1591" s="4">
        <f t="shared" si="978"/>
        <v>5.0090567306638155E-3</v>
      </c>
      <c r="E1591" s="4">
        <f t="shared" si="978"/>
        <v>5.0090567306638155E-3</v>
      </c>
      <c r="F1591" s="4">
        <f t="shared" si="978"/>
        <v>5.0090567306638155E-3</v>
      </c>
      <c r="G1591" s="4">
        <f t="shared" si="978"/>
        <v>5.0090567306638155E-3</v>
      </c>
      <c r="H1591" s="4">
        <f t="shared" si="978"/>
        <v>5.0090567306638155E-3</v>
      </c>
      <c r="I1591" s="4">
        <f t="shared" si="978"/>
        <v>5.0090567306638155E-3</v>
      </c>
      <c r="J1591" s="4">
        <f t="shared" si="978"/>
        <v>5.0090567306638155E-3</v>
      </c>
      <c r="K1591" s="4">
        <f t="shared" si="978"/>
        <v>5.0090567306638155E-3</v>
      </c>
      <c r="L1591" s="4">
        <f t="shared" si="978"/>
        <v>5.0090567306638155E-3</v>
      </c>
      <c r="M1591" s="4">
        <f t="shared" si="978"/>
        <v>5.0090567306638155E-3</v>
      </c>
      <c r="N1591" t="s">
        <v>439</v>
      </c>
      <c r="O1591" t="s">
        <v>511</v>
      </c>
      <c r="P1591" t="s">
        <v>468</v>
      </c>
      <c r="Q1591" t="s">
        <v>245</v>
      </c>
    </row>
    <row r="1592" spans="1:18" x14ac:dyDescent="0.25">
      <c r="A1592" t="s">
        <v>468</v>
      </c>
      <c r="B1592" t="s">
        <v>86</v>
      </c>
      <c r="C1592" s="4">
        <f t="shared" ref="C1592:M1592" si="979" xml:space="preserve"> (0.000498720250908245/ (0.330538489833607 * 0.909423121018547  + 0.0075812778161116 + 0.0053783839453516 + 0.000498720250908245 + 4.29106402225506E-07))* 0.292492156922487</f>
        <v>4.644737257349117E-4</v>
      </c>
      <c r="D1592" s="4">
        <f t="shared" si="979"/>
        <v>4.644737257349117E-4</v>
      </c>
      <c r="E1592" s="4">
        <f t="shared" si="979"/>
        <v>4.644737257349117E-4</v>
      </c>
      <c r="F1592" s="4">
        <f t="shared" si="979"/>
        <v>4.644737257349117E-4</v>
      </c>
      <c r="G1592" s="4">
        <f t="shared" si="979"/>
        <v>4.644737257349117E-4</v>
      </c>
      <c r="H1592" s="4">
        <f t="shared" si="979"/>
        <v>4.644737257349117E-4</v>
      </c>
      <c r="I1592" s="4">
        <f t="shared" si="979"/>
        <v>4.644737257349117E-4</v>
      </c>
      <c r="J1592" s="4">
        <f t="shared" si="979"/>
        <v>4.644737257349117E-4</v>
      </c>
      <c r="K1592" s="4">
        <f t="shared" si="979"/>
        <v>4.644737257349117E-4</v>
      </c>
      <c r="L1592" s="4">
        <f t="shared" si="979"/>
        <v>4.644737257349117E-4</v>
      </c>
      <c r="M1592" s="4">
        <f t="shared" si="979"/>
        <v>4.644737257349117E-4</v>
      </c>
      <c r="N1592" t="s">
        <v>439</v>
      </c>
      <c r="O1592" t="s">
        <v>438</v>
      </c>
      <c r="P1592" t="s">
        <v>468</v>
      </c>
      <c r="Q1592" t="s">
        <v>245</v>
      </c>
    </row>
    <row r="1593" spans="1:18" x14ac:dyDescent="0.25">
      <c r="A1593" t="s">
        <v>468</v>
      </c>
      <c r="B1593" t="s">
        <v>86</v>
      </c>
      <c r="C1593" s="4">
        <f t="shared" ref="C1593:M1593" si="980" xml:space="preserve"> (4.29106402225506E-07/ (0.330538489833607 * 0.909423121018547  + 0.0075812778161116 + 0.0053783839453516 + 0.000498720250908245 + 4.29106402225506E-07))* 0.292492156922487</f>
        <v>3.9964017706402167E-7</v>
      </c>
      <c r="D1593" s="4">
        <f t="shared" si="980"/>
        <v>3.9964017706402167E-7</v>
      </c>
      <c r="E1593" s="4">
        <f t="shared" si="980"/>
        <v>3.9964017706402167E-7</v>
      </c>
      <c r="F1593" s="4">
        <f t="shared" si="980"/>
        <v>3.9964017706402167E-7</v>
      </c>
      <c r="G1593" s="4">
        <f t="shared" si="980"/>
        <v>3.9964017706402167E-7</v>
      </c>
      <c r="H1593" s="4">
        <f t="shared" si="980"/>
        <v>3.9964017706402167E-7</v>
      </c>
      <c r="I1593" s="4">
        <f t="shared" si="980"/>
        <v>3.9964017706402167E-7</v>
      </c>
      <c r="J1593" s="4">
        <f t="shared" si="980"/>
        <v>3.9964017706402167E-7</v>
      </c>
      <c r="K1593" s="4">
        <f t="shared" si="980"/>
        <v>3.9964017706402167E-7</v>
      </c>
      <c r="L1593" s="4">
        <f t="shared" si="980"/>
        <v>3.9964017706402167E-7</v>
      </c>
      <c r="M1593" s="4">
        <f t="shared" si="980"/>
        <v>3.9964017706402167E-7</v>
      </c>
      <c r="N1593" t="s">
        <v>514</v>
      </c>
      <c r="O1593" t="s">
        <v>512</v>
      </c>
      <c r="P1593" t="s">
        <v>468</v>
      </c>
      <c r="Q1593" t="s">
        <v>245</v>
      </c>
    </row>
    <row r="1594" spans="1:18" x14ac:dyDescent="0.25">
      <c r="A1594" t="s">
        <v>468</v>
      </c>
      <c r="B1594" t="s">
        <v>86</v>
      </c>
      <c r="C1594" s="4">
        <f t="shared" ref="C1594:M1594" si="981" xml:space="preserve"> (0.330538489833607 * 0.909423121018547 / (0.330538489833607 * 0.909423121018547  + 0.0075812778161116 + 0.0053783839453516 + 0.000498720250908245 + 4.29106402225506E-07))* 0.292492156922487</f>
        <v>0.27995754632082243</v>
      </c>
      <c r="D1594" s="4">
        <f t="shared" si="981"/>
        <v>0.27995754632082243</v>
      </c>
      <c r="E1594" s="4">
        <f t="shared" si="981"/>
        <v>0.27995754632082243</v>
      </c>
      <c r="F1594" s="4">
        <f t="shared" si="981"/>
        <v>0.27995754632082243</v>
      </c>
      <c r="G1594" s="4">
        <f t="shared" si="981"/>
        <v>0.27995754632082243</v>
      </c>
      <c r="H1594" s="4">
        <f t="shared" si="981"/>
        <v>0.27995754632082243</v>
      </c>
      <c r="I1594" s="4">
        <f t="shared" si="981"/>
        <v>0.27995754632082243</v>
      </c>
      <c r="J1594" s="4">
        <f t="shared" si="981"/>
        <v>0.27995754632082243</v>
      </c>
      <c r="K1594" s="4">
        <f t="shared" si="981"/>
        <v>0.27995754632082243</v>
      </c>
      <c r="L1594" s="4">
        <f t="shared" si="981"/>
        <v>0.27995754632082243</v>
      </c>
      <c r="M1594" s="4">
        <f t="shared" si="981"/>
        <v>0.27995754632082243</v>
      </c>
      <c r="N1594" t="s">
        <v>256</v>
      </c>
      <c r="O1594" t="s">
        <v>461</v>
      </c>
      <c r="P1594" t="s">
        <v>468</v>
      </c>
      <c r="Q1594" t="s">
        <v>245</v>
      </c>
      <c r="R1594" t="s">
        <v>513</v>
      </c>
    </row>
    <row r="1595" spans="1:18" x14ac:dyDescent="0.25">
      <c r="A1595" t="s">
        <v>468</v>
      </c>
      <c r="B1595" t="s">
        <v>87</v>
      </c>
      <c r="C1595" s="4">
        <v>2.253439506276323E-4</v>
      </c>
      <c r="D1595" s="4">
        <v>2.253439506276323E-4</v>
      </c>
      <c r="E1595" s="4">
        <v>2.253439506276323E-4</v>
      </c>
      <c r="F1595" s="4">
        <v>2.253439506276323E-4</v>
      </c>
      <c r="G1595" s="4">
        <v>2.253439506276323E-4</v>
      </c>
      <c r="H1595" s="4">
        <v>2.253439506276323E-4</v>
      </c>
      <c r="I1595" s="4">
        <v>2.253439506276323E-4</v>
      </c>
      <c r="J1595" s="4">
        <v>2.253439506276323E-4</v>
      </c>
      <c r="K1595" s="4">
        <v>2.253439506276323E-4</v>
      </c>
      <c r="L1595" s="4">
        <v>2.253439506276323E-4</v>
      </c>
      <c r="M1595" s="4">
        <v>2.253439506276323E-4</v>
      </c>
      <c r="N1595" t="s">
        <v>256</v>
      </c>
      <c r="O1595" t="s">
        <v>461</v>
      </c>
      <c r="P1595" t="s">
        <v>468</v>
      </c>
      <c r="Q1595" t="s">
        <v>245</v>
      </c>
    </row>
    <row r="1596" spans="1:18" x14ac:dyDescent="0.25">
      <c r="A1596" t="s">
        <v>468</v>
      </c>
      <c r="B1596" t="s">
        <v>128</v>
      </c>
      <c r="C1596" s="4">
        <v>9.2224579238873056E-5</v>
      </c>
      <c r="D1596" s="4">
        <v>9.2224579238873056E-5</v>
      </c>
      <c r="E1596" s="4">
        <v>9.2224579238873056E-5</v>
      </c>
      <c r="F1596" s="4">
        <v>9.2224579238873056E-5</v>
      </c>
      <c r="G1596" s="4">
        <v>9.2224579238873056E-5</v>
      </c>
      <c r="H1596" s="4">
        <v>9.2224579238873056E-5</v>
      </c>
      <c r="I1596" s="4">
        <v>9.2224579238873056E-5</v>
      </c>
      <c r="J1596" s="4">
        <v>9.2224579238873056E-5</v>
      </c>
      <c r="K1596" s="4">
        <v>9.2224579238873056E-5</v>
      </c>
      <c r="L1596" s="4">
        <v>9.2224579238873056E-5</v>
      </c>
      <c r="M1596" s="4">
        <v>9.2224579238873056E-5</v>
      </c>
      <c r="N1596" t="s">
        <v>256</v>
      </c>
      <c r="O1596" t="s">
        <v>461</v>
      </c>
      <c r="P1596" t="s">
        <v>468</v>
      </c>
      <c r="Q1596" t="s">
        <v>245</v>
      </c>
    </row>
    <row r="1597" spans="1:18" x14ac:dyDescent="0.25">
      <c r="A1597" t="s">
        <v>468</v>
      </c>
      <c r="B1597" t="s">
        <v>117</v>
      </c>
      <c r="C1597" s="4">
        <v>1.5220605155840319E-4</v>
      </c>
      <c r="D1597" s="4">
        <v>1.5220605155840319E-4</v>
      </c>
      <c r="E1597" s="4">
        <v>1.5220605155840319E-4</v>
      </c>
      <c r="F1597" s="4">
        <v>1.5220605155840319E-4</v>
      </c>
      <c r="G1597" s="4">
        <v>1.5220605155840319E-4</v>
      </c>
      <c r="H1597" s="4">
        <v>1.5220605155840319E-4</v>
      </c>
      <c r="I1597" s="4">
        <v>1.5220605155840319E-4</v>
      </c>
      <c r="J1597" s="4">
        <v>1.5220605155840319E-4</v>
      </c>
      <c r="K1597" s="4">
        <v>1.5220605155840319E-4</v>
      </c>
      <c r="L1597" s="4">
        <v>1.5220605155840319E-4</v>
      </c>
      <c r="M1597" s="4">
        <v>1.5220605155840319E-4</v>
      </c>
      <c r="N1597" t="s">
        <v>256</v>
      </c>
      <c r="O1597" t="s">
        <v>461</v>
      </c>
      <c r="P1597" t="s">
        <v>468</v>
      </c>
      <c r="Q1597" t="s">
        <v>245</v>
      </c>
    </row>
    <row r="1598" spans="1:18" x14ac:dyDescent="0.25">
      <c r="A1598" t="s">
        <v>468</v>
      </c>
      <c r="B1598" t="s">
        <v>196</v>
      </c>
      <c r="C1598" s="4">
        <v>8.2111499066212875E-7</v>
      </c>
      <c r="D1598" s="4">
        <v>8.2111499066212875E-7</v>
      </c>
      <c r="E1598" s="4">
        <v>8.2111499066212875E-7</v>
      </c>
      <c r="F1598" s="4">
        <v>8.2111499066212875E-7</v>
      </c>
      <c r="G1598" s="4">
        <v>8.2111499066212875E-7</v>
      </c>
      <c r="H1598" s="4">
        <v>8.2111499066212875E-7</v>
      </c>
      <c r="I1598" s="4">
        <v>8.2111499066212875E-7</v>
      </c>
      <c r="J1598" s="4">
        <v>8.2111499066212875E-7</v>
      </c>
      <c r="K1598" s="4">
        <v>8.2111499066212875E-7</v>
      </c>
      <c r="L1598" s="4">
        <v>8.2111499066212875E-7</v>
      </c>
      <c r="M1598" s="4">
        <v>8.2111499066212875E-7</v>
      </c>
      <c r="N1598" t="s">
        <v>256</v>
      </c>
      <c r="O1598" t="s">
        <v>461</v>
      </c>
      <c r="P1598" t="s">
        <v>468</v>
      </c>
      <c r="Q1598" t="s">
        <v>245</v>
      </c>
    </row>
    <row r="1599" spans="1:18" x14ac:dyDescent="0.25">
      <c r="A1599" t="s">
        <v>468</v>
      </c>
      <c r="B1599" t="s">
        <v>94</v>
      </c>
      <c r="C1599" s="4">
        <v>1.546844983859123E-4</v>
      </c>
      <c r="D1599" s="4">
        <v>1.546844983859123E-4</v>
      </c>
      <c r="E1599" s="4">
        <v>1.546844983859123E-4</v>
      </c>
      <c r="F1599" s="4">
        <v>1.546844983859123E-4</v>
      </c>
      <c r="G1599" s="4">
        <v>1.546844983859123E-4</v>
      </c>
      <c r="H1599" s="4">
        <v>1.546844983859123E-4</v>
      </c>
      <c r="I1599" s="4">
        <v>1.546844983859123E-4</v>
      </c>
      <c r="J1599" s="4">
        <v>1.546844983859123E-4</v>
      </c>
      <c r="K1599" s="4">
        <v>1.546844983859123E-4</v>
      </c>
      <c r="L1599" s="4">
        <v>1.546844983859123E-4</v>
      </c>
      <c r="M1599" s="4">
        <v>1.546844983859123E-4</v>
      </c>
      <c r="N1599" t="s">
        <v>256</v>
      </c>
      <c r="O1599" t="s">
        <v>461</v>
      </c>
      <c r="P1599" t="s">
        <v>468</v>
      </c>
      <c r="Q1599" t="s">
        <v>245</v>
      </c>
    </row>
    <row r="1600" spans="1:18" x14ac:dyDescent="0.25">
      <c r="A1600" t="s">
        <v>468</v>
      </c>
      <c r="B1600" t="s">
        <v>97</v>
      </c>
      <c r="C1600" s="4">
        <v>6.8199334161939323E-2</v>
      </c>
      <c r="D1600" s="4">
        <v>6.8199334161939323E-2</v>
      </c>
      <c r="E1600" s="4">
        <v>6.8199334161939323E-2</v>
      </c>
      <c r="F1600" s="4">
        <v>6.8199334161939323E-2</v>
      </c>
      <c r="G1600" s="4">
        <v>6.8199334161939323E-2</v>
      </c>
      <c r="H1600" s="4">
        <v>6.8199334161939323E-2</v>
      </c>
      <c r="I1600" s="4">
        <v>6.8199334161939323E-2</v>
      </c>
      <c r="J1600" s="4">
        <v>6.8199334161939323E-2</v>
      </c>
      <c r="K1600" s="4">
        <v>6.8199334161939323E-2</v>
      </c>
      <c r="L1600" s="4">
        <v>6.8199334161939323E-2</v>
      </c>
      <c r="M1600" s="4">
        <v>6.8199334161939323E-2</v>
      </c>
      <c r="N1600" t="s">
        <v>308</v>
      </c>
      <c r="O1600" t="s">
        <v>461</v>
      </c>
      <c r="P1600" t="s">
        <v>468</v>
      </c>
      <c r="Q1600" t="s">
        <v>245</v>
      </c>
    </row>
    <row r="1601" spans="1:17" x14ac:dyDescent="0.25">
      <c r="A1601" t="s">
        <v>468</v>
      </c>
      <c r="B1601" t="s">
        <v>98</v>
      </c>
      <c r="C1601" s="4">
        <v>8.8592228027528153E-4</v>
      </c>
      <c r="D1601" s="4">
        <v>8.8592228027528153E-4</v>
      </c>
      <c r="E1601" s="4">
        <v>8.8592228027528153E-4</v>
      </c>
      <c r="F1601" s="4">
        <v>8.8592228027528153E-4</v>
      </c>
      <c r="G1601" s="4">
        <v>8.8592228027528153E-4</v>
      </c>
      <c r="H1601" s="4">
        <v>8.8592228027528153E-4</v>
      </c>
      <c r="I1601" s="4">
        <v>8.8592228027528153E-4</v>
      </c>
      <c r="J1601" s="4">
        <v>8.8592228027528153E-4</v>
      </c>
      <c r="K1601" s="4">
        <v>8.8592228027528153E-4</v>
      </c>
      <c r="L1601" s="4">
        <v>8.8592228027528153E-4</v>
      </c>
      <c r="M1601" s="4">
        <v>8.8592228027528153E-4</v>
      </c>
      <c r="N1601" t="s">
        <v>256</v>
      </c>
      <c r="O1601" t="s">
        <v>461</v>
      </c>
      <c r="P1601" t="s">
        <v>468</v>
      </c>
      <c r="Q1601" t="s">
        <v>245</v>
      </c>
    </row>
    <row r="1602" spans="1:17" x14ac:dyDescent="0.25">
      <c r="A1602" t="s">
        <v>468</v>
      </c>
      <c r="B1602" t="s">
        <v>99</v>
      </c>
      <c r="C1602" s="4">
        <v>3.0378349741597348E-2</v>
      </c>
      <c r="D1602" s="4">
        <v>3.0378349741597348E-2</v>
      </c>
      <c r="E1602" s="4">
        <v>3.0378349741597348E-2</v>
      </c>
      <c r="F1602" s="4">
        <v>3.0378349741597348E-2</v>
      </c>
      <c r="G1602" s="4">
        <v>3.0378349741597348E-2</v>
      </c>
      <c r="H1602" s="4">
        <v>3.0378349741597348E-2</v>
      </c>
      <c r="I1602" s="4">
        <v>3.0378349741597348E-2</v>
      </c>
      <c r="J1602" s="4">
        <v>3.0378349741597348E-2</v>
      </c>
      <c r="K1602" s="4">
        <v>3.0378349741597348E-2</v>
      </c>
      <c r="L1602" s="4">
        <v>3.0378349741597348E-2</v>
      </c>
      <c r="M1602" s="4">
        <v>3.0378349741597348E-2</v>
      </c>
      <c r="N1602" t="s">
        <v>256</v>
      </c>
      <c r="O1602" t="s">
        <v>461</v>
      </c>
      <c r="P1602" t="s">
        <v>468</v>
      </c>
      <c r="Q1602" t="s">
        <v>245</v>
      </c>
    </row>
    <row r="1603" spans="1:17" x14ac:dyDescent="0.25">
      <c r="A1603" t="s">
        <v>468</v>
      </c>
      <c r="B1603" t="s">
        <v>102</v>
      </c>
      <c r="C1603" s="4">
        <v>1.631396013432844E-2</v>
      </c>
      <c r="D1603" s="4">
        <v>1.631396013432844E-2</v>
      </c>
      <c r="E1603" s="4">
        <v>1.631396013432844E-2</v>
      </c>
      <c r="F1603" s="4">
        <v>1.631396013432844E-2</v>
      </c>
      <c r="G1603" s="4">
        <v>1.631396013432844E-2</v>
      </c>
      <c r="H1603" s="4">
        <v>1.631396013432844E-2</v>
      </c>
      <c r="I1603" s="4">
        <v>1.631396013432844E-2</v>
      </c>
      <c r="J1603" s="4">
        <v>1.631396013432844E-2</v>
      </c>
      <c r="K1603" s="4">
        <v>1.631396013432844E-2</v>
      </c>
      <c r="L1603" s="4">
        <v>1.631396013432844E-2</v>
      </c>
      <c r="M1603" s="4">
        <v>1.631396013432844E-2</v>
      </c>
      <c r="N1603" t="s">
        <v>256</v>
      </c>
      <c r="O1603" t="s">
        <v>461</v>
      </c>
      <c r="P1603" t="s">
        <v>468</v>
      </c>
      <c r="Q1603" t="s">
        <v>245</v>
      </c>
    </row>
    <row r="1604" spans="1:17" x14ac:dyDescent="0.25">
      <c r="A1604" t="s">
        <v>468</v>
      </c>
      <c r="B1604" t="s">
        <v>148</v>
      </c>
      <c r="C1604" s="4">
        <v>1.3859108342627449E-4</v>
      </c>
      <c r="D1604" s="4">
        <v>1.3859108342627449E-4</v>
      </c>
      <c r="E1604" s="4">
        <v>1.3859108342627449E-4</v>
      </c>
      <c r="F1604" s="4">
        <v>1.3859108342627449E-4</v>
      </c>
      <c r="G1604" s="4">
        <v>1.3859108342627449E-4</v>
      </c>
      <c r="H1604" s="4">
        <v>1.3859108342627449E-4</v>
      </c>
      <c r="I1604" s="4">
        <v>1.3859108342627449E-4</v>
      </c>
      <c r="J1604" s="4">
        <v>1.3859108342627449E-4</v>
      </c>
      <c r="K1604" s="4">
        <v>1.3859108342627449E-4</v>
      </c>
      <c r="L1604" s="4">
        <v>1.3859108342627449E-4</v>
      </c>
      <c r="M1604" s="4">
        <v>1.3859108342627449E-4</v>
      </c>
      <c r="N1604" t="s">
        <v>256</v>
      </c>
      <c r="O1604" t="s">
        <v>461</v>
      </c>
      <c r="P1604" t="s">
        <v>468</v>
      </c>
      <c r="Q1604" t="s">
        <v>245</v>
      </c>
    </row>
    <row r="1605" spans="1:17" x14ac:dyDescent="0.25">
      <c r="A1605" t="s">
        <v>468</v>
      </c>
      <c r="B1605" t="s">
        <v>149</v>
      </c>
      <c r="C1605" s="4">
        <v>1.0631319060895421E-3</v>
      </c>
      <c r="D1605" s="4">
        <v>1.0631319060895421E-3</v>
      </c>
      <c r="E1605" s="4">
        <v>1.0631319060895421E-3</v>
      </c>
      <c r="F1605" s="4">
        <v>1.0631319060895421E-3</v>
      </c>
      <c r="G1605" s="4">
        <v>1.0631319060895421E-3</v>
      </c>
      <c r="H1605" s="4">
        <v>1.0631319060895421E-3</v>
      </c>
      <c r="I1605" s="4">
        <v>1.0631319060895421E-3</v>
      </c>
      <c r="J1605" s="4">
        <v>1.0631319060895421E-3</v>
      </c>
      <c r="K1605" s="4">
        <v>1.0631319060895421E-3</v>
      </c>
      <c r="L1605" s="4">
        <v>1.0631319060895421E-3</v>
      </c>
      <c r="M1605" s="4">
        <v>1.0631319060895421E-3</v>
      </c>
      <c r="N1605" t="s">
        <v>256</v>
      </c>
      <c r="O1605" t="s">
        <v>461</v>
      </c>
      <c r="P1605" t="s">
        <v>468</v>
      </c>
      <c r="Q1605" t="s">
        <v>245</v>
      </c>
    </row>
    <row r="1606" spans="1:17" x14ac:dyDescent="0.25">
      <c r="A1606" t="s">
        <v>468</v>
      </c>
      <c r="B1606" t="s">
        <v>171</v>
      </c>
      <c r="C1606" s="4">
        <v>3.4560893237714599E-4</v>
      </c>
      <c r="D1606" s="4">
        <v>3.4560893237714599E-4</v>
      </c>
      <c r="E1606" s="4">
        <v>3.4560893237714599E-4</v>
      </c>
      <c r="F1606" s="4">
        <v>3.4560893237714599E-4</v>
      </c>
      <c r="G1606" s="4">
        <v>3.4560893237714599E-4</v>
      </c>
      <c r="H1606" s="4">
        <v>3.4560893237714599E-4</v>
      </c>
      <c r="I1606" s="4">
        <v>3.4560893237714599E-4</v>
      </c>
      <c r="J1606" s="4">
        <v>3.4560893237714599E-4</v>
      </c>
      <c r="K1606" s="4">
        <v>3.4560893237714599E-4</v>
      </c>
      <c r="L1606" s="4">
        <v>3.4560893237714599E-4</v>
      </c>
      <c r="M1606" s="4">
        <v>3.4560893237714599E-4</v>
      </c>
      <c r="N1606" t="s">
        <v>256</v>
      </c>
      <c r="O1606" t="s">
        <v>461</v>
      </c>
      <c r="P1606" t="s">
        <v>468</v>
      </c>
      <c r="Q1606" t="s">
        <v>245</v>
      </c>
    </row>
    <row r="1607" spans="1:17" x14ac:dyDescent="0.25">
      <c r="A1607" t="s">
        <v>468</v>
      </c>
      <c r="B1607" t="s">
        <v>199</v>
      </c>
      <c r="C1607" s="4">
        <v>1.3272189571443009E-3</v>
      </c>
      <c r="D1607" s="4">
        <v>1.3272189571443009E-3</v>
      </c>
      <c r="E1607" s="4">
        <v>1.3272189571443009E-3</v>
      </c>
      <c r="F1607" s="4">
        <v>1.3272189571443009E-3</v>
      </c>
      <c r="G1607" s="4">
        <v>1.3272189571443009E-3</v>
      </c>
      <c r="H1607" s="4">
        <v>1.3272189571443009E-3</v>
      </c>
      <c r="I1607" s="4">
        <v>1.3272189571443009E-3</v>
      </c>
      <c r="J1607" s="4">
        <v>1.3272189571443009E-3</v>
      </c>
      <c r="K1607" s="4">
        <v>1.3272189571443009E-3</v>
      </c>
      <c r="L1607" s="4">
        <v>1.3272189571443009E-3</v>
      </c>
      <c r="M1607" s="4">
        <v>1.3272189571443009E-3</v>
      </c>
      <c r="N1607" t="s">
        <v>256</v>
      </c>
      <c r="O1607" t="s">
        <v>461</v>
      </c>
      <c r="P1607" t="s">
        <v>468</v>
      </c>
      <c r="Q1607" t="s">
        <v>245</v>
      </c>
    </row>
    <row r="1608" spans="1:17" x14ac:dyDescent="0.25">
      <c r="A1608" t="s">
        <v>468</v>
      </c>
      <c r="B1608" t="s">
        <v>213</v>
      </c>
      <c r="C1608" s="4">
        <v>1.3269626128274799E-6</v>
      </c>
      <c r="D1608" s="4">
        <v>1.3269626128274799E-6</v>
      </c>
      <c r="E1608" s="4">
        <v>1.3269626128274799E-6</v>
      </c>
      <c r="F1608" s="4">
        <v>1.3269626128274799E-6</v>
      </c>
      <c r="G1608" s="4">
        <v>1.3269626128274799E-6</v>
      </c>
      <c r="H1608" s="4">
        <v>1.3269626128274799E-6</v>
      </c>
      <c r="I1608" s="4">
        <v>1.3269626128274799E-6</v>
      </c>
      <c r="J1608" s="4">
        <v>1.3269626128274799E-6</v>
      </c>
      <c r="K1608" s="4">
        <v>1.3269626128274799E-6</v>
      </c>
      <c r="L1608" s="4">
        <v>1.3269626128274799E-6</v>
      </c>
      <c r="M1608" s="4">
        <v>1.3269626128274799E-6</v>
      </c>
      <c r="N1608" t="s">
        <v>256</v>
      </c>
      <c r="O1608" t="s">
        <v>461</v>
      </c>
      <c r="P1608" t="s">
        <v>468</v>
      </c>
      <c r="Q1608" t="s">
        <v>245</v>
      </c>
    </row>
    <row r="1609" spans="1:17" x14ac:dyDescent="0.25">
      <c r="A1609" t="s">
        <v>468</v>
      </c>
      <c r="B1609" t="s">
        <v>103</v>
      </c>
      <c r="C1609" s="4">
        <v>1.3991561941616331E-3</v>
      </c>
      <c r="D1609" s="4">
        <v>1.3991561941616331E-3</v>
      </c>
      <c r="E1609" s="4">
        <v>1.3991561941616331E-3</v>
      </c>
      <c r="F1609" s="4">
        <v>1.3991561941616331E-3</v>
      </c>
      <c r="G1609" s="4">
        <v>1.3991561941616331E-3</v>
      </c>
      <c r="H1609" s="4">
        <v>1.3991561941616331E-3</v>
      </c>
      <c r="I1609" s="4">
        <v>1.3991561941616331E-3</v>
      </c>
      <c r="J1609" s="4">
        <v>1.3991561941616331E-3</v>
      </c>
      <c r="K1609" s="4">
        <v>1.3991561941616331E-3</v>
      </c>
      <c r="L1609" s="4">
        <v>1.3991561941616331E-3</v>
      </c>
      <c r="M1609" s="4">
        <v>1.3991561941616331E-3</v>
      </c>
      <c r="N1609" t="s">
        <v>256</v>
      </c>
      <c r="O1609" t="s">
        <v>461</v>
      </c>
      <c r="P1609" t="s">
        <v>468</v>
      </c>
      <c r="Q1609" t="s">
        <v>245</v>
      </c>
    </row>
    <row r="1610" spans="1:17" x14ac:dyDescent="0.25">
      <c r="A1610" t="s">
        <v>468</v>
      </c>
      <c r="B1610" t="s">
        <v>172</v>
      </c>
      <c r="C1610" s="4">
        <v>3.8627905538410261E-3</v>
      </c>
      <c r="D1610" s="4">
        <v>3.8627905538410261E-3</v>
      </c>
      <c r="E1610" s="4">
        <v>3.8627905538410261E-3</v>
      </c>
      <c r="F1610" s="4">
        <v>3.8627905538410261E-3</v>
      </c>
      <c r="G1610" s="4">
        <v>3.8627905538410261E-3</v>
      </c>
      <c r="H1610" s="4">
        <v>3.8627905538410261E-3</v>
      </c>
      <c r="I1610" s="4">
        <v>3.8627905538410261E-3</v>
      </c>
      <c r="J1610" s="4">
        <v>3.8627905538410261E-3</v>
      </c>
      <c r="K1610" s="4">
        <v>3.8627905538410261E-3</v>
      </c>
      <c r="L1610" s="4">
        <v>3.8627905538410261E-3</v>
      </c>
      <c r="M1610" s="4">
        <v>3.8627905538410261E-3</v>
      </c>
      <c r="N1610" t="s">
        <v>256</v>
      </c>
      <c r="O1610" t="s">
        <v>461</v>
      </c>
      <c r="P1610" t="s">
        <v>468</v>
      </c>
      <c r="Q1610" t="s">
        <v>245</v>
      </c>
    </row>
    <row r="1611" spans="1:17" x14ac:dyDescent="0.25">
      <c r="A1611" t="s">
        <v>468</v>
      </c>
      <c r="B1611" t="s">
        <v>150</v>
      </c>
      <c r="C1611" s="4">
        <v>7.7308814072056019E-3</v>
      </c>
      <c r="D1611" s="4">
        <v>7.7308814072056019E-3</v>
      </c>
      <c r="E1611" s="4">
        <v>7.7308814072056019E-3</v>
      </c>
      <c r="F1611" s="4">
        <v>7.7308814072056019E-3</v>
      </c>
      <c r="G1611" s="4">
        <v>7.7308814072056019E-3</v>
      </c>
      <c r="H1611" s="4">
        <v>7.7308814072056019E-3</v>
      </c>
      <c r="I1611" s="4">
        <v>7.7308814072056019E-3</v>
      </c>
      <c r="J1611" s="4">
        <v>7.7308814072056019E-3</v>
      </c>
      <c r="K1611" s="4">
        <v>7.7308814072056019E-3</v>
      </c>
      <c r="L1611" s="4">
        <v>7.7308814072056019E-3</v>
      </c>
      <c r="M1611" s="4">
        <v>7.7308814072056019E-3</v>
      </c>
      <c r="N1611" t="s">
        <v>256</v>
      </c>
      <c r="O1611" t="s">
        <v>461</v>
      </c>
      <c r="P1611" t="s">
        <v>468</v>
      </c>
      <c r="Q1611" t="s">
        <v>245</v>
      </c>
    </row>
    <row r="1612" spans="1:17" x14ac:dyDescent="0.25">
      <c r="A1612" t="s">
        <v>468</v>
      </c>
      <c r="B1612" t="s">
        <v>173</v>
      </c>
      <c r="C1612" s="4">
        <v>2.638862092838758E-3</v>
      </c>
      <c r="D1612" s="4">
        <v>2.638862092838758E-3</v>
      </c>
      <c r="E1612" s="4">
        <v>2.638862092838758E-3</v>
      </c>
      <c r="F1612" s="4">
        <v>2.638862092838758E-3</v>
      </c>
      <c r="G1612" s="4">
        <v>2.638862092838758E-3</v>
      </c>
      <c r="H1612" s="4">
        <v>2.638862092838758E-3</v>
      </c>
      <c r="I1612" s="4">
        <v>2.638862092838758E-3</v>
      </c>
      <c r="J1612" s="4">
        <v>2.638862092838758E-3</v>
      </c>
      <c r="K1612" s="4">
        <v>2.638862092838758E-3</v>
      </c>
      <c r="L1612" s="4">
        <v>2.638862092838758E-3</v>
      </c>
      <c r="M1612" s="4">
        <v>2.638862092838758E-3</v>
      </c>
      <c r="N1612" t="s">
        <v>256</v>
      </c>
      <c r="O1612" t="s">
        <v>461</v>
      </c>
      <c r="P1612" t="s">
        <v>468</v>
      </c>
      <c r="Q1612" t="s">
        <v>245</v>
      </c>
    </row>
    <row r="1613" spans="1:17" x14ac:dyDescent="0.25">
      <c r="A1613" t="s">
        <v>468</v>
      </c>
      <c r="B1613" t="s">
        <v>161</v>
      </c>
      <c r="C1613" s="4">
        <v>1.9425891078307059E-5</v>
      </c>
      <c r="D1613" s="4">
        <v>1.9425891078307059E-5</v>
      </c>
      <c r="E1613" s="4">
        <v>1.9425891078307059E-5</v>
      </c>
      <c r="F1613" s="4">
        <v>1.9425891078307059E-5</v>
      </c>
      <c r="G1613" s="4">
        <v>1.9425891078307059E-5</v>
      </c>
      <c r="H1613" s="4">
        <v>1.9425891078307059E-5</v>
      </c>
      <c r="I1613" s="4">
        <v>1.9425891078307059E-5</v>
      </c>
      <c r="J1613" s="4">
        <v>1.9425891078307059E-5</v>
      </c>
      <c r="K1613" s="4">
        <v>1.9425891078307059E-5</v>
      </c>
      <c r="L1613" s="4">
        <v>1.9425891078307059E-5</v>
      </c>
      <c r="M1613" s="4">
        <v>1.9425891078307059E-5</v>
      </c>
      <c r="N1613" t="s">
        <v>256</v>
      </c>
      <c r="O1613" t="s">
        <v>461</v>
      </c>
      <c r="P1613" t="s">
        <v>468</v>
      </c>
      <c r="Q1613" t="s">
        <v>245</v>
      </c>
    </row>
    <row r="1614" spans="1:17" x14ac:dyDescent="0.25">
      <c r="A1614" t="s">
        <v>468</v>
      </c>
      <c r="B1614" t="s">
        <v>175</v>
      </c>
      <c r="C1614" s="4">
        <v>1.0571427941557651E-5</v>
      </c>
      <c r="D1614" s="4">
        <v>1.0571427941557651E-5</v>
      </c>
      <c r="E1614" s="4">
        <v>1.0571427941557651E-5</v>
      </c>
      <c r="F1614" s="4">
        <v>1.0571427941557651E-5</v>
      </c>
      <c r="G1614" s="4">
        <v>1.0571427941557651E-5</v>
      </c>
      <c r="H1614" s="4">
        <v>1.0571427941557651E-5</v>
      </c>
      <c r="I1614" s="4">
        <v>1.0571427941557651E-5</v>
      </c>
      <c r="J1614" s="4">
        <v>1.0571427941557651E-5</v>
      </c>
      <c r="K1614" s="4">
        <v>1.0571427941557651E-5</v>
      </c>
      <c r="L1614" s="4">
        <v>1.0571427941557651E-5</v>
      </c>
      <c r="M1614" s="4">
        <v>1.0571427941557651E-5</v>
      </c>
      <c r="N1614" t="s">
        <v>256</v>
      </c>
      <c r="O1614" t="s">
        <v>461</v>
      </c>
      <c r="P1614" t="s">
        <v>468</v>
      </c>
      <c r="Q1614" t="s">
        <v>245</v>
      </c>
    </row>
    <row r="1615" spans="1:17" x14ac:dyDescent="0.25">
      <c r="A1615" t="s">
        <v>468</v>
      </c>
      <c r="B1615" t="s">
        <v>214</v>
      </c>
      <c r="C1615" s="4">
        <v>9.2611806303556921E-8</v>
      </c>
      <c r="D1615" s="4">
        <v>9.2611806303556921E-8</v>
      </c>
      <c r="E1615" s="4">
        <v>9.2611806303556921E-8</v>
      </c>
      <c r="F1615" s="4">
        <v>9.2611806303556921E-8</v>
      </c>
      <c r="G1615" s="4">
        <v>9.2611806303556921E-8</v>
      </c>
      <c r="H1615" s="4">
        <v>9.2611806303556921E-8</v>
      </c>
      <c r="I1615" s="4">
        <v>9.2611806303556921E-8</v>
      </c>
      <c r="J1615" s="4">
        <v>9.2611806303556921E-8</v>
      </c>
      <c r="K1615" s="4">
        <v>9.2611806303556921E-8</v>
      </c>
      <c r="L1615" s="4">
        <v>9.2611806303556921E-8</v>
      </c>
      <c r="M1615" s="4">
        <v>9.2611806303556921E-8</v>
      </c>
      <c r="N1615" t="s">
        <v>256</v>
      </c>
      <c r="O1615" t="s">
        <v>461</v>
      </c>
      <c r="P1615" t="s">
        <v>468</v>
      </c>
      <c r="Q1615" t="s">
        <v>245</v>
      </c>
    </row>
    <row r="1616" spans="1:17" x14ac:dyDescent="0.25">
      <c r="A1616" t="s">
        <v>468</v>
      </c>
      <c r="B1616" t="s">
        <v>131</v>
      </c>
      <c r="C1616" s="4">
        <v>1.2912731850324511E-3</v>
      </c>
      <c r="D1616" s="4">
        <v>1.2912731850324511E-3</v>
      </c>
      <c r="E1616" s="4">
        <v>1.2912731850324511E-3</v>
      </c>
      <c r="F1616" s="4">
        <v>1.2912731850324511E-3</v>
      </c>
      <c r="G1616" s="4">
        <v>1.2912731850324511E-3</v>
      </c>
      <c r="H1616" s="4">
        <v>1.2912731850324511E-3</v>
      </c>
      <c r="I1616" s="4">
        <v>1.2912731850324511E-3</v>
      </c>
      <c r="J1616" s="4">
        <v>1.2912731850324511E-3</v>
      </c>
      <c r="K1616" s="4">
        <v>1.2912731850324511E-3</v>
      </c>
      <c r="L1616" s="4">
        <v>1.2912731850324511E-3</v>
      </c>
      <c r="M1616" s="4">
        <v>1.2912731850324511E-3</v>
      </c>
      <c r="N1616" t="s">
        <v>256</v>
      </c>
      <c r="O1616" t="s">
        <v>461</v>
      </c>
      <c r="P1616" t="s">
        <v>468</v>
      </c>
      <c r="Q1616" t="s">
        <v>245</v>
      </c>
    </row>
    <row r="1617" spans="1:18" x14ac:dyDescent="0.25">
      <c r="A1617" t="s">
        <v>468</v>
      </c>
      <c r="B1617" t="s">
        <v>203</v>
      </c>
      <c r="C1617" s="4">
        <v>4.1930237320850831E-7</v>
      </c>
      <c r="D1617" s="4">
        <v>4.1930237320850831E-7</v>
      </c>
      <c r="E1617" s="4">
        <v>4.1930237320850831E-7</v>
      </c>
      <c r="F1617" s="4">
        <v>4.1930237320850831E-7</v>
      </c>
      <c r="G1617" s="4">
        <v>4.1930237320850831E-7</v>
      </c>
      <c r="H1617" s="4">
        <v>4.1930237320850831E-7</v>
      </c>
      <c r="I1617" s="4">
        <v>4.1930237320850831E-7</v>
      </c>
      <c r="J1617" s="4">
        <v>4.1930237320850831E-7</v>
      </c>
      <c r="K1617" s="4">
        <v>4.1930237320850831E-7</v>
      </c>
      <c r="L1617" s="4">
        <v>4.1930237320850831E-7</v>
      </c>
      <c r="M1617" s="4">
        <v>4.1930237320850831E-7</v>
      </c>
      <c r="N1617" t="s">
        <v>256</v>
      </c>
      <c r="O1617" t="s">
        <v>461</v>
      </c>
      <c r="P1617" t="s">
        <v>468</v>
      </c>
      <c r="Q1617" t="s">
        <v>245</v>
      </c>
    </row>
    <row r="1618" spans="1:18" x14ac:dyDescent="0.25">
      <c r="A1618" t="s">
        <v>468</v>
      </c>
      <c r="B1618" t="s">
        <v>132</v>
      </c>
      <c r="C1618" s="4">
        <v>5.5647607650235163E-4</v>
      </c>
      <c r="D1618" s="4">
        <v>5.5647607650235163E-4</v>
      </c>
      <c r="E1618" s="4">
        <v>5.5647607650235163E-4</v>
      </c>
      <c r="F1618" s="4">
        <v>5.5647607650235163E-4</v>
      </c>
      <c r="G1618" s="4">
        <v>5.5647607650235163E-4</v>
      </c>
      <c r="H1618" s="4">
        <v>5.5647607650235163E-4</v>
      </c>
      <c r="I1618" s="4">
        <v>5.5647607650235163E-4</v>
      </c>
      <c r="J1618" s="4">
        <v>5.5647607650235163E-4</v>
      </c>
      <c r="K1618" s="4">
        <v>5.5647607650235163E-4</v>
      </c>
      <c r="L1618" s="4">
        <v>5.5647607650235163E-4</v>
      </c>
      <c r="M1618" s="4">
        <v>5.5647607650235163E-4</v>
      </c>
      <c r="N1618" t="s">
        <v>256</v>
      </c>
      <c r="O1618" t="s">
        <v>461</v>
      </c>
      <c r="P1618" t="s">
        <v>468</v>
      </c>
      <c r="Q1618" t="s">
        <v>245</v>
      </c>
    </row>
    <row r="1619" spans="1:18" x14ac:dyDescent="0.25">
      <c r="A1619" t="s">
        <v>468</v>
      </c>
      <c r="B1619" t="s">
        <v>106</v>
      </c>
      <c r="C1619" s="4">
        <v>2.0559956528862279E-4</v>
      </c>
      <c r="D1619" s="4">
        <v>2.0559956528862279E-4</v>
      </c>
      <c r="E1619" s="4">
        <v>2.0559956528862279E-4</v>
      </c>
      <c r="F1619" s="4">
        <v>2.0559956528862279E-4</v>
      </c>
      <c r="G1619" s="4">
        <v>2.0559956528862279E-4</v>
      </c>
      <c r="H1619" s="4">
        <v>2.0559956528862279E-4</v>
      </c>
      <c r="I1619" s="4">
        <v>2.0559956528862279E-4</v>
      </c>
      <c r="J1619" s="4">
        <v>2.0559956528862279E-4</v>
      </c>
      <c r="K1619" s="4">
        <v>2.0559956528862279E-4</v>
      </c>
      <c r="L1619" s="4">
        <v>2.0559956528862279E-4</v>
      </c>
      <c r="M1619" s="4">
        <v>2.0559956528862279E-4</v>
      </c>
      <c r="N1619" t="s">
        <v>256</v>
      </c>
      <c r="O1619" t="s">
        <v>461</v>
      </c>
      <c r="P1619" t="s">
        <v>468</v>
      </c>
      <c r="Q1619" t="s">
        <v>245</v>
      </c>
    </row>
    <row r="1620" spans="1:18" x14ac:dyDescent="0.25">
      <c r="A1620" t="s">
        <v>468</v>
      </c>
      <c r="B1620" t="s">
        <v>146</v>
      </c>
      <c r="C1620" s="4">
        <v>3.1948540709724111E-3</v>
      </c>
      <c r="D1620" s="4">
        <v>3.1948540709724111E-3</v>
      </c>
      <c r="E1620" s="4">
        <v>3.1948540709724111E-3</v>
      </c>
      <c r="F1620" s="4">
        <v>3.1948540709724111E-3</v>
      </c>
      <c r="G1620" s="4">
        <v>3.1948540709724111E-3</v>
      </c>
      <c r="H1620" s="4">
        <v>3.1948540709724111E-3</v>
      </c>
      <c r="I1620" s="4">
        <v>3.1948540709724111E-3</v>
      </c>
      <c r="J1620" s="4">
        <v>3.1948540709724111E-3</v>
      </c>
      <c r="K1620" s="4">
        <v>3.1948540709724111E-3</v>
      </c>
      <c r="L1620" s="4">
        <v>3.1948540709724111E-3</v>
      </c>
      <c r="M1620" s="4">
        <v>3.1948540709724111E-3</v>
      </c>
      <c r="N1620" t="s">
        <v>256</v>
      </c>
      <c r="O1620" t="s">
        <v>461</v>
      </c>
      <c r="P1620" t="s">
        <v>468</v>
      </c>
      <c r="Q1620" t="s">
        <v>245</v>
      </c>
    </row>
    <row r="1621" spans="1:18" x14ac:dyDescent="0.25">
      <c r="A1621" t="s">
        <v>468</v>
      </c>
      <c r="B1621" t="s">
        <v>156</v>
      </c>
      <c r="C1621" s="4">
        <v>7.7659033200789611E-6</v>
      </c>
      <c r="D1621" s="4">
        <v>7.7659033200789611E-6</v>
      </c>
      <c r="E1621" s="4">
        <v>7.7659033200789611E-6</v>
      </c>
      <c r="F1621" s="4">
        <v>7.7659033200789611E-6</v>
      </c>
      <c r="G1621" s="4">
        <v>7.7659033200789611E-6</v>
      </c>
      <c r="H1621" s="4">
        <v>7.7659033200789611E-6</v>
      </c>
      <c r="I1621" s="4">
        <v>7.7659033200789611E-6</v>
      </c>
      <c r="J1621" s="4">
        <v>7.7659033200789611E-6</v>
      </c>
      <c r="K1621" s="4">
        <v>7.7659033200789611E-6</v>
      </c>
      <c r="L1621" s="4">
        <v>7.7659033200789611E-6</v>
      </c>
      <c r="M1621" s="4">
        <v>7.7659033200789611E-6</v>
      </c>
      <c r="N1621" t="s">
        <v>256</v>
      </c>
      <c r="O1621" t="s">
        <v>461</v>
      </c>
      <c r="P1621" t="s">
        <v>468</v>
      </c>
      <c r="Q1621" t="s">
        <v>245</v>
      </c>
    </row>
    <row r="1622" spans="1:18" x14ac:dyDescent="0.25">
      <c r="A1622" t="s">
        <v>468</v>
      </c>
      <c r="B1622" t="s">
        <v>107</v>
      </c>
      <c r="C1622" s="4">
        <f t="shared" ref="C1622:M1622" si="982" xml:space="preserve"> (0.475037028128714*0.000121381571398847/(0.0423830486231445*0.909423121018547+0.475037028128714*0.000121381571398847)) * 3.15848209093803%</f>
        <v>4.717927348909763E-5</v>
      </c>
      <c r="D1622" s="4">
        <f t="shared" si="982"/>
        <v>4.717927348909763E-5</v>
      </c>
      <c r="E1622" s="4">
        <f t="shared" si="982"/>
        <v>4.717927348909763E-5</v>
      </c>
      <c r="F1622" s="4">
        <f t="shared" si="982"/>
        <v>4.717927348909763E-5</v>
      </c>
      <c r="G1622" s="4">
        <f t="shared" si="982"/>
        <v>4.717927348909763E-5</v>
      </c>
      <c r="H1622" s="4">
        <f t="shared" si="982"/>
        <v>4.717927348909763E-5</v>
      </c>
      <c r="I1622" s="4">
        <f t="shared" si="982"/>
        <v>4.717927348909763E-5</v>
      </c>
      <c r="J1622" s="4">
        <f t="shared" si="982"/>
        <v>4.717927348909763E-5</v>
      </c>
      <c r="K1622" s="4">
        <f t="shared" si="982"/>
        <v>4.717927348909763E-5</v>
      </c>
      <c r="L1622" s="4">
        <f t="shared" si="982"/>
        <v>4.717927348909763E-5</v>
      </c>
      <c r="M1622" s="4">
        <f t="shared" si="982"/>
        <v>4.717927348909763E-5</v>
      </c>
      <c r="N1622" t="s">
        <v>256</v>
      </c>
      <c r="O1622" t="s">
        <v>437</v>
      </c>
      <c r="P1622" t="s">
        <v>468</v>
      </c>
      <c r="Q1622" t="s">
        <v>245</v>
      </c>
      <c r="R1622" t="s">
        <v>534</v>
      </c>
    </row>
    <row r="1623" spans="1:18" x14ac:dyDescent="0.25">
      <c r="A1623" t="s">
        <v>468</v>
      </c>
      <c r="B1623" t="s">
        <v>107</v>
      </c>
      <c r="C1623" s="4">
        <f t="shared" ref="C1623:M1623" si="983" xml:space="preserve"> (0.0423830486231445*0.909423121018547/(0.0423830486231445*0.909423121018547+0.475037028128714*0.000121381571398847)) * 3.15848209093803%</f>
        <v>3.1537641635891199E-2</v>
      </c>
      <c r="D1623" s="4">
        <f t="shared" si="983"/>
        <v>3.1537641635891199E-2</v>
      </c>
      <c r="E1623" s="4">
        <f t="shared" si="983"/>
        <v>3.1537641635891199E-2</v>
      </c>
      <c r="F1623" s="4">
        <f t="shared" si="983"/>
        <v>3.1537641635891199E-2</v>
      </c>
      <c r="G1623" s="4">
        <f t="shared" si="983"/>
        <v>3.1537641635891199E-2</v>
      </c>
      <c r="H1623" s="4">
        <f t="shared" si="983"/>
        <v>3.1537641635891199E-2</v>
      </c>
      <c r="I1623" s="4">
        <f t="shared" si="983"/>
        <v>3.1537641635891199E-2</v>
      </c>
      <c r="J1623" s="4">
        <f t="shared" si="983"/>
        <v>3.1537641635891199E-2</v>
      </c>
      <c r="K1623" s="4">
        <f t="shared" si="983"/>
        <v>3.1537641635891199E-2</v>
      </c>
      <c r="L1623" s="4">
        <f t="shared" si="983"/>
        <v>3.1537641635891199E-2</v>
      </c>
      <c r="M1623" s="4">
        <f t="shared" si="983"/>
        <v>3.1537641635891199E-2</v>
      </c>
      <c r="N1623" t="s">
        <v>256</v>
      </c>
      <c r="O1623" t="s">
        <v>461</v>
      </c>
      <c r="P1623" t="s">
        <v>468</v>
      </c>
      <c r="Q1623" t="s">
        <v>245</v>
      </c>
      <c r="R1623" t="s">
        <v>535</v>
      </c>
    </row>
    <row r="1624" spans="1:18" x14ac:dyDescent="0.25">
      <c r="A1624" t="s">
        <v>468</v>
      </c>
      <c r="B1624" t="s">
        <v>109</v>
      </c>
      <c r="C1624" s="4">
        <v>6.3327501385463422E-4</v>
      </c>
      <c r="D1624" s="4">
        <v>6.3327501385463422E-4</v>
      </c>
      <c r="E1624" s="4">
        <v>6.3327501385463422E-4</v>
      </c>
      <c r="F1624" s="4">
        <v>6.3327501385463422E-4</v>
      </c>
      <c r="G1624" s="4">
        <v>6.3327501385463422E-4</v>
      </c>
      <c r="H1624" s="4">
        <v>6.3327501385463422E-4</v>
      </c>
      <c r="I1624" s="4">
        <v>6.3327501385463422E-4</v>
      </c>
      <c r="J1624" s="4">
        <v>6.3327501385463422E-4</v>
      </c>
      <c r="K1624" s="4">
        <v>6.3327501385463422E-4</v>
      </c>
      <c r="L1624" s="4">
        <v>6.3327501385463422E-4</v>
      </c>
      <c r="M1624" s="4">
        <v>6.3327501385463422E-4</v>
      </c>
      <c r="N1624" t="s">
        <v>256</v>
      </c>
      <c r="O1624" t="s">
        <v>461</v>
      </c>
      <c r="P1624" t="s">
        <v>468</v>
      </c>
      <c r="Q1624" t="s">
        <v>245</v>
      </c>
    </row>
    <row r="1625" spans="1:18" x14ac:dyDescent="0.25">
      <c r="A1625" t="s">
        <v>468</v>
      </c>
      <c r="B1625" t="s">
        <v>137</v>
      </c>
      <c r="C1625" s="4">
        <v>2.2592365535860168E-2</v>
      </c>
      <c r="D1625" s="4">
        <v>2.2592365535860168E-2</v>
      </c>
      <c r="E1625" s="4">
        <v>2.2592365535860168E-2</v>
      </c>
      <c r="F1625" s="4">
        <v>2.2592365535860168E-2</v>
      </c>
      <c r="G1625" s="4">
        <v>2.2592365535860168E-2</v>
      </c>
      <c r="H1625" s="4">
        <v>2.2592365535860168E-2</v>
      </c>
      <c r="I1625" s="4">
        <v>2.2592365535860168E-2</v>
      </c>
      <c r="J1625" s="4">
        <v>2.2592365535860168E-2</v>
      </c>
      <c r="K1625" s="4">
        <v>2.2592365535860168E-2</v>
      </c>
      <c r="L1625" s="4">
        <v>2.2592365535860168E-2</v>
      </c>
      <c r="M1625" s="4">
        <v>2.2592365535860168E-2</v>
      </c>
      <c r="N1625" t="s">
        <v>256</v>
      </c>
      <c r="O1625" t="s">
        <v>461</v>
      </c>
      <c r="P1625" t="s">
        <v>468</v>
      </c>
      <c r="Q1625" t="s">
        <v>245</v>
      </c>
    </row>
    <row r="1626" spans="1:18" x14ac:dyDescent="0.25">
      <c r="A1626" t="s">
        <v>468</v>
      </c>
      <c r="B1626" t="s">
        <v>121</v>
      </c>
      <c r="C1626" s="4">
        <v>4.5176490879783862E-6</v>
      </c>
      <c r="D1626" s="4">
        <v>4.5176490879783862E-6</v>
      </c>
      <c r="E1626" s="4">
        <v>4.5176490879783862E-6</v>
      </c>
      <c r="F1626" s="4">
        <v>4.5176490879783862E-6</v>
      </c>
      <c r="G1626" s="4">
        <v>4.5176490879783862E-6</v>
      </c>
      <c r="H1626" s="4">
        <v>4.5176490879783862E-6</v>
      </c>
      <c r="I1626" s="4">
        <v>4.5176490879783862E-6</v>
      </c>
      <c r="J1626" s="4">
        <v>4.5176490879783862E-6</v>
      </c>
      <c r="K1626" s="4">
        <v>4.5176490879783862E-6</v>
      </c>
      <c r="L1626" s="4">
        <v>4.5176490879783862E-6</v>
      </c>
      <c r="M1626" s="4">
        <v>4.5176490879783862E-6</v>
      </c>
      <c r="N1626" t="s">
        <v>256</v>
      </c>
      <c r="O1626" t="s">
        <v>461</v>
      </c>
      <c r="P1626" t="s">
        <v>468</v>
      </c>
      <c r="Q1626" t="s">
        <v>245</v>
      </c>
    </row>
    <row r="1627" spans="1:18" x14ac:dyDescent="0.25">
      <c r="A1627" t="s">
        <v>468</v>
      </c>
      <c r="B1627" t="s">
        <v>138</v>
      </c>
      <c r="C1627" s="4">
        <v>1.206799600871666E-2</v>
      </c>
      <c r="D1627" s="4">
        <v>1.206799600871666E-2</v>
      </c>
      <c r="E1627" s="4">
        <v>1.206799600871666E-2</v>
      </c>
      <c r="F1627" s="4">
        <v>1.206799600871666E-2</v>
      </c>
      <c r="G1627" s="4">
        <v>1.206799600871666E-2</v>
      </c>
      <c r="H1627" s="4">
        <v>1.206799600871666E-2</v>
      </c>
      <c r="I1627" s="4">
        <v>1.206799600871666E-2</v>
      </c>
      <c r="J1627" s="4">
        <v>1.206799600871666E-2</v>
      </c>
      <c r="K1627" s="4">
        <v>1.206799600871666E-2</v>
      </c>
      <c r="L1627" s="4">
        <v>1.206799600871666E-2</v>
      </c>
      <c r="M1627" s="4">
        <v>1.206799600871666E-2</v>
      </c>
      <c r="N1627" t="s">
        <v>256</v>
      </c>
      <c r="O1627" t="s">
        <v>461</v>
      </c>
      <c r="P1627" t="s">
        <v>468</v>
      </c>
      <c r="Q1627" t="s">
        <v>245</v>
      </c>
    </row>
    <row r="1628" spans="1:18" x14ac:dyDescent="0.25">
      <c r="A1628" t="s">
        <v>468</v>
      </c>
      <c r="B1628" t="s">
        <v>215</v>
      </c>
      <c r="C1628" s="4">
        <v>2.9425900948079559E-5</v>
      </c>
      <c r="D1628" s="4">
        <v>2.9425900948079559E-5</v>
      </c>
      <c r="E1628" s="4">
        <v>2.9425900948079559E-5</v>
      </c>
      <c r="F1628" s="4">
        <v>2.9425900948079559E-5</v>
      </c>
      <c r="G1628" s="4">
        <v>2.9425900948079559E-5</v>
      </c>
      <c r="H1628" s="4">
        <v>2.9425900948079559E-5</v>
      </c>
      <c r="I1628" s="4">
        <v>2.9425900948079559E-5</v>
      </c>
      <c r="J1628" s="4">
        <v>2.9425900948079559E-5</v>
      </c>
      <c r="K1628" s="4">
        <v>2.9425900948079559E-5</v>
      </c>
      <c r="L1628" s="4">
        <v>2.9425900948079559E-5</v>
      </c>
      <c r="M1628" s="4">
        <v>2.9425900948079559E-5</v>
      </c>
      <c r="N1628" t="s">
        <v>256</v>
      </c>
      <c r="O1628" t="s">
        <v>461</v>
      </c>
      <c r="P1628" t="s">
        <v>468</v>
      </c>
      <c r="Q1628" t="s">
        <v>245</v>
      </c>
    </row>
    <row r="1629" spans="1:18" x14ac:dyDescent="0.25">
      <c r="A1629" t="s">
        <v>468</v>
      </c>
      <c r="B1629" t="s">
        <v>216</v>
      </c>
      <c r="C1629" s="4">
        <v>6.4515643095601743E-5</v>
      </c>
      <c r="D1629" s="4">
        <v>6.4515643095601743E-5</v>
      </c>
      <c r="E1629" s="4">
        <v>6.4515643095601743E-5</v>
      </c>
      <c r="F1629" s="4">
        <v>6.4515643095601743E-5</v>
      </c>
      <c r="G1629" s="4">
        <v>6.4515643095601743E-5</v>
      </c>
      <c r="H1629" s="4">
        <v>6.4515643095601743E-5</v>
      </c>
      <c r="I1629" s="4">
        <v>6.4515643095601743E-5</v>
      </c>
      <c r="J1629" s="4">
        <v>6.4515643095601743E-5</v>
      </c>
      <c r="K1629" s="4">
        <v>6.4515643095601743E-5</v>
      </c>
      <c r="L1629" s="4">
        <v>6.4515643095601743E-5</v>
      </c>
      <c r="M1629" s="4">
        <v>6.4515643095601743E-5</v>
      </c>
      <c r="N1629" t="s">
        <v>256</v>
      </c>
      <c r="O1629" t="s">
        <v>461</v>
      </c>
      <c r="P1629" t="s">
        <v>468</v>
      </c>
      <c r="Q1629" t="s">
        <v>245</v>
      </c>
    </row>
    <row r="1630" spans="1:18" x14ac:dyDescent="0.25">
      <c r="A1630" t="s">
        <v>468</v>
      </c>
      <c r="B1630" t="s">
        <v>112</v>
      </c>
      <c r="C1630" s="4">
        <v>5.0095616988426479E-3</v>
      </c>
      <c r="D1630" s="4">
        <v>5.0095616988426479E-3</v>
      </c>
      <c r="E1630" s="4">
        <v>5.0095616988426479E-3</v>
      </c>
      <c r="F1630" s="4">
        <v>5.0095616988426479E-3</v>
      </c>
      <c r="G1630" s="4">
        <v>5.0095616988426479E-3</v>
      </c>
      <c r="H1630" s="4">
        <v>5.0095616988426479E-3</v>
      </c>
      <c r="I1630" s="4">
        <v>5.0095616988426479E-3</v>
      </c>
      <c r="J1630" s="4">
        <v>5.0095616988426479E-3</v>
      </c>
      <c r="K1630" s="4">
        <v>5.0095616988426479E-3</v>
      </c>
      <c r="L1630" s="4">
        <v>5.0095616988426479E-3</v>
      </c>
      <c r="M1630" s="4">
        <v>5.0095616988426479E-3</v>
      </c>
      <c r="N1630" t="s">
        <v>256</v>
      </c>
      <c r="O1630" t="s">
        <v>461</v>
      </c>
      <c r="P1630" t="s">
        <v>468</v>
      </c>
      <c r="Q1630" t="s">
        <v>245</v>
      </c>
    </row>
    <row r="1631" spans="1:18" x14ac:dyDescent="0.25">
      <c r="A1631" t="s">
        <v>468</v>
      </c>
      <c r="B1631" t="s">
        <v>113</v>
      </c>
      <c r="C1631" s="4">
        <v>1.4914695774740069E-2</v>
      </c>
      <c r="D1631" s="4">
        <v>1.4914695774740069E-2</v>
      </c>
      <c r="E1631" s="4">
        <v>1.4914695774740069E-2</v>
      </c>
      <c r="F1631" s="4">
        <v>1.4914695774740069E-2</v>
      </c>
      <c r="G1631" s="4">
        <v>1.4914695774740069E-2</v>
      </c>
      <c r="H1631" s="4">
        <v>1.4914695774740069E-2</v>
      </c>
      <c r="I1631" s="4">
        <v>1.4914695774740069E-2</v>
      </c>
      <c r="J1631" s="4">
        <v>1.4914695774740069E-2</v>
      </c>
      <c r="K1631" s="4">
        <v>1.4914695774740069E-2</v>
      </c>
      <c r="L1631" s="4">
        <v>1.4914695774740069E-2</v>
      </c>
      <c r="M1631" s="4">
        <v>1.4914695774740069E-2</v>
      </c>
      <c r="N1631" t="s">
        <v>256</v>
      </c>
      <c r="O1631" t="s">
        <v>461</v>
      </c>
      <c r="P1631" t="s">
        <v>468</v>
      </c>
      <c r="Q1631" t="s">
        <v>245</v>
      </c>
    </row>
    <row r="1632" spans="1:18" x14ac:dyDescent="0.25">
      <c r="A1632" t="s">
        <v>468</v>
      </c>
      <c r="B1632" t="s">
        <v>142</v>
      </c>
      <c r="C1632" s="4">
        <v>4.4014809685732282E-7</v>
      </c>
      <c r="D1632" s="4">
        <v>4.4014809685732282E-7</v>
      </c>
      <c r="E1632" s="4">
        <v>4.4014809685732282E-7</v>
      </c>
      <c r="F1632" s="4">
        <v>4.4014809685732282E-7</v>
      </c>
      <c r="G1632" s="4">
        <v>4.4014809685732282E-7</v>
      </c>
      <c r="H1632" s="4">
        <v>4.4014809685732282E-7</v>
      </c>
      <c r="I1632" s="4">
        <v>4.4014809685732282E-7</v>
      </c>
      <c r="J1632" s="4">
        <v>4.4014809685732282E-7</v>
      </c>
      <c r="K1632" s="4">
        <v>4.4014809685732282E-7</v>
      </c>
      <c r="L1632" s="4">
        <v>4.4014809685732282E-7</v>
      </c>
      <c r="M1632" s="4">
        <v>4.4014809685732282E-7</v>
      </c>
      <c r="N1632" t="s">
        <v>256</v>
      </c>
      <c r="O1632" t="s">
        <v>461</v>
      </c>
      <c r="P1632" t="s">
        <v>468</v>
      </c>
      <c r="Q1632" t="s">
        <v>245</v>
      </c>
    </row>
    <row r="1633" spans="1:18" x14ac:dyDescent="0.25">
      <c r="A1633" t="s">
        <v>468</v>
      </c>
      <c r="B1633" t="s">
        <v>122</v>
      </c>
      <c r="C1633" s="4">
        <v>2.2917046394299409E-2</v>
      </c>
      <c r="D1633" s="4">
        <v>2.2917046394299409E-2</v>
      </c>
      <c r="E1633" s="4">
        <v>2.2917046394299409E-2</v>
      </c>
      <c r="F1633" s="4">
        <v>2.2917046394299409E-2</v>
      </c>
      <c r="G1633" s="4">
        <v>2.2917046394299409E-2</v>
      </c>
      <c r="H1633" s="4">
        <v>2.2917046394299409E-2</v>
      </c>
      <c r="I1633" s="4">
        <v>2.2917046394299409E-2</v>
      </c>
      <c r="J1633" s="4">
        <v>2.2917046394299409E-2</v>
      </c>
      <c r="K1633" s="4">
        <v>2.2917046394299409E-2</v>
      </c>
      <c r="L1633" s="4">
        <v>2.2917046394299409E-2</v>
      </c>
      <c r="M1633" s="4">
        <v>2.2917046394299409E-2</v>
      </c>
      <c r="N1633" t="s">
        <v>256</v>
      </c>
      <c r="O1633" t="s">
        <v>461</v>
      </c>
      <c r="P1633" t="s">
        <v>468</v>
      </c>
      <c r="Q1633" t="s">
        <v>245</v>
      </c>
    </row>
    <row r="1634" spans="1:18" x14ac:dyDescent="0.25">
      <c r="A1634" t="s">
        <v>468</v>
      </c>
      <c r="B1634" t="s">
        <v>114</v>
      </c>
      <c r="C1634" s="4">
        <v>8.2348333592757934E-4</v>
      </c>
      <c r="D1634" s="4">
        <v>8.2348333592757934E-4</v>
      </c>
      <c r="E1634" s="4">
        <v>8.2348333592757934E-4</v>
      </c>
      <c r="F1634" s="4">
        <v>8.2348333592757934E-4</v>
      </c>
      <c r="G1634" s="4">
        <v>8.2348333592757934E-4</v>
      </c>
      <c r="H1634" s="4">
        <v>8.2348333592757934E-4</v>
      </c>
      <c r="I1634" s="4">
        <v>8.2348333592757934E-4</v>
      </c>
      <c r="J1634" s="4">
        <v>8.2348333592757934E-4</v>
      </c>
      <c r="K1634" s="4">
        <v>8.2348333592757934E-4</v>
      </c>
      <c r="L1634" s="4">
        <v>8.2348333592757934E-4</v>
      </c>
      <c r="M1634" s="4">
        <v>8.2348333592757934E-4</v>
      </c>
      <c r="N1634" t="s">
        <v>256</v>
      </c>
      <c r="O1634" t="s">
        <v>461</v>
      </c>
      <c r="P1634" t="s">
        <v>468</v>
      </c>
      <c r="Q1634" t="s">
        <v>245</v>
      </c>
    </row>
    <row r="1635" spans="1:18" x14ac:dyDescent="0.25">
      <c r="A1635" t="s">
        <v>468</v>
      </c>
      <c r="B1635" t="s">
        <v>115</v>
      </c>
      <c r="C1635" s="4">
        <v>1.6844329555743341E-3</v>
      </c>
      <c r="D1635" s="4">
        <v>1.6844329555743341E-3</v>
      </c>
      <c r="E1635" s="4">
        <v>1.6844329555743341E-3</v>
      </c>
      <c r="F1635" s="4">
        <v>1.6844329555743341E-3</v>
      </c>
      <c r="G1635" s="4">
        <v>1.6844329555743341E-3</v>
      </c>
      <c r="H1635" s="4">
        <v>1.6844329555743341E-3</v>
      </c>
      <c r="I1635" s="4">
        <v>1.6844329555743341E-3</v>
      </c>
      <c r="J1635" s="4">
        <v>1.6844329555743341E-3</v>
      </c>
      <c r="K1635" s="4">
        <v>1.6844329555743341E-3</v>
      </c>
      <c r="L1635" s="4">
        <v>1.6844329555743341E-3</v>
      </c>
      <c r="M1635" s="4">
        <v>1.6844329555743341E-3</v>
      </c>
      <c r="N1635" t="s">
        <v>256</v>
      </c>
      <c r="O1635" t="s">
        <v>461</v>
      </c>
      <c r="P1635" t="s">
        <v>468</v>
      </c>
      <c r="Q1635" t="s">
        <v>245</v>
      </c>
    </row>
    <row r="1636" spans="1:18" x14ac:dyDescent="0.25">
      <c r="A1636" t="s">
        <v>537</v>
      </c>
      <c r="B1636" t="s">
        <v>183</v>
      </c>
      <c r="C1636" s="4">
        <v>1.0480653387665039E-3</v>
      </c>
      <c r="D1636" s="4">
        <v>1.0480653387665039E-3</v>
      </c>
      <c r="E1636" s="4">
        <v>1.0480653387665039E-3</v>
      </c>
      <c r="F1636" s="4">
        <v>1.0480653387665039E-3</v>
      </c>
      <c r="G1636" s="4">
        <v>1.0480653387665039E-3</v>
      </c>
      <c r="H1636" s="4">
        <v>1.0480653387665039E-3</v>
      </c>
      <c r="I1636" s="4">
        <v>1.0480653387665039E-3</v>
      </c>
      <c r="J1636" s="4">
        <v>1.0480653387665039E-3</v>
      </c>
      <c r="K1636" s="4">
        <v>1.0480653387665039E-3</v>
      </c>
      <c r="L1636" s="4">
        <v>1.0480653387665039E-3</v>
      </c>
      <c r="M1636" s="4">
        <v>1.0480653387665039E-3</v>
      </c>
      <c r="N1636" t="s">
        <v>256</v>
      </c>
      <c r="O1636" t="s">
        <v>536</v>
      </c>
      <c r="P1636" t="s">
        <v>537</v>
      </c>
      <c r="Q1636" t="s">
        <v>650</v>
      </c>
    </row>
    <row r="1637" spans="1:18" x14ac:dyDescent="0.25">
      <c r="A1637" t="s">
        <v>537</v>
      </c>
      <c r="B1637" t="s">
        <v>124</v>
      </c>
      <c r="C1637" s="4">
        <v>2.3577103183334818E-3</v>
      </c>
      <c r="D1637" s="4">
        <v>2.3577103183334818E-3</v>
      </c>
      <c r="E1637" s="4">
        <v>2.3577103183334818E-3</v>
      </c>
      <c r="F1637" s="4">
        <v>2.3577103183334818E-3</v>
      </c>
      <c r="G1637" s="4">
        <v>2.3577103183334818E-3</v>
      </c>
      <c r="H1637" s="4">
        <v>2.3577103183334818E-3</v>
      </c>
      <c r="I1637" s="4">
        <v>2.3577103183334818E-3</v>
      </c>
      <c r="J1637" s="4">
        <v>2.3577103183334818E-3</v>
      </c>
      <c r="K1637" s="4">
        <v>2.3577103183334818E-3</v>
      </c>
      <c r="L1637" s="4">
        <v>2.3577103183334818E-3</v>
      </c>
      <c r="M1637" s="4">
        <v>2.3577103183334818E-3</v>
      </c>
      <c r="N1637" t="s">
        <v>256</v>
      </c>
      <c r="O1637" t="s">
        <v>536</v>
      </c>
      <c r="P1637" t="s">
        <v>537</v>
      </c>
      <c r="Q1637" t="s">
        <v>650</v>
      </c>
    </row>
    <row r="1638" spans="1:18" x14ac:dyDescent="0.25">
      <c r="A1638" t="s">
        <v>537</v>
      </c>
      <c r="B1638" t="s">
        <v>83</v>
      </c>
      <c r="C1638" s="4">
        <v>2.7371973097451881E-3</v>
      </c>
      <c r="D1638" s="4">
        <v>2.7371973097451881E-3</v>
      </c>
      <c r="E1638" s="4">
        <v>2.7371973097451881E-3</v>
      </c>
      <c r="F1638" s="4">
        <v>2.7371973097451881E-3</v>
      </c>
      <c r="G1638" s="4">
        <v>2.7371973097451881E-3</v>
      </c>
      <c r="H1638" s="4">
        <v>2.7371973097451881E-3</v>
      </c>
      <c r="I1638" s="4">
        <v>2.7371973097451881E-3</v>
      </c>
      <c r="J1638" s="4">
        <v>2.7371973097451881E-3</v>
      </c>
      <c r="K1638" s="4">
        <v>2.7371973097451881E-3</v>
      </c>
      <c r="L1638" s="4">
        <v>2.7371973097451881E-3</v>
      </c>
      <c r="M1638" s="4">
        <v>2.7371973097451881E-3</v>
      </c>
      <c r="N1638" t="s">
        <v>256</v>
      </c>
      <c r="O1638" t="s">
        <v>536</v>
      </c>
      <c r="P1638" t="s">
        <v>537</v>
      </c>
      <c r="Q1638" t="s">
        <v>650</v>
      </c>
    </row>
    <row r="1639" spans="1:18" x14ac:dyDescent="0.25">
      <c r="A1639" t="s">
        <v>537</v>
      </c>
      <c r="B1639" t="s">
        <v>181</v>
      </c>
      <c r="C1639" s="4">
        <v>4.1855653820683427E-3</v>
      </c>
      <c r="D1639" s="4">
        <v>4.1855653820683427E-3</v>
      </c>
      <c r="E1639" s="4">
        <v>4.1855653820683427E-3</v>
      </c>
      <c r="F1639" s="4">
        <v>4.1855653820683427E-3</v>
      </c>
      <c r="G1639" s="4">
        <v>4.1855653820683427E-3</v>
      </c>
      <c r="H1639" s="4">
        <v>4.1855653820683427E-3</v>
      </c>
      <c r="I1639" s="4">
        <v>4.1855653820683427E-3</v>
      </c>
      <c r="J1639" s="4">
        <v>4.1855653820683427E-3</v>
      </c>
      <c r="K1639" s="4">
        <v>4.1855653820683427E-3</v>
      </c>
      <c r="L1639" s="4">
        <v>4.1855653820683427E-3</v>
      </c>
      <c r="M1639" s="4">
        <v>4.1855653820683427E-3</v>
      </c>
      <c r="N1639" t="s">
        <v>256</v>
      </c>
      <c r="O1639" t="s">
        <v>536</v>
      </c>
      <c r="P1639" t="s">
        <v>537</v>
      </c>
      <c r="Q1639" t="s">
        <v>650</v>
      </c>
    </row>
    <row r="1640" spans="1:18" x14ac:dyDescent="0.25">
      <c r="A1640" t="s">
        <v>537</v>
      </c>
      <c r="B1640" t="s">
        <v>125</v>
      </c>
      <c r="C1640" s="4">
        <v>2.0087918993024669E-7</v>
      </c>
      <c r="D1640" s="4">
        <v>2.0087918993024669E-7</v>
      </c>
      <c r="E1640" s="4">
        <v>2.0087918993024669E-7</v>
      </c>
      <c r="F1640" s="4">
        <v>2.0087918993024669E-7</v>
      </c>
      <c r="G1640" s="4">
        <v>2.0087918993024669E-7</v>
      </c>
      <c r="H1640" s="4">
        <v>2.0087918993024669E-7</v>
      </c>
      <c r="I1640" s="4">
        <v>2.0087918993024669E-7</v>
      </c>
      <c r="J1640" s="4">
        <v>2.0087918993024669E-7</v>
      </c>
      <c r="K1640" s="4">
        <v>2.0087918993024669E-7</v>
      </c>
      <c r="L1640" s="4">
        <v>2.0087918993024669E-7</v>
      </c>
      <c r="M1640" s="4">
        <v>2.0087918993024669E-7</v>
      </c>
      <c r="N1640" t="s">
        <v>256</v>
      </c>
      <c r="O1640" t="s">
        <v>536</v>
      </c>
      <c r="P1640" t="s">
        <v>537</v>
      </c>
      <c r="Q1640" t="s">
        <v>650</v>
      </c>
    </row>
    <row r="1641" spans="1:18" x14ac:dyDescent="0.25">
      <c r="A1641" t="s">
        <v>537</v>
      </c>
      <c r="B1641" t="s">
        <v>126</v>
      </c>
      <c r="C1641" s="4">
        <v>1.0349645220319231E-3</v>
      </c>
      <c r="D1641" s="4">
        <v>1.0349645220319231E-3</v>
      </c>
      <c r="E1641" s="4">
        <v>1.0349645220319231E-3</v>
      </c>
      <c r="F1641" s="4">
        <v>1.0349645220319231E-3</v>
      </c>
      <c r="G1641" s="4">
        <v>1.0349645220319231E-3</v>
      </c>
      <c r="H1641" s="4">
        <v>1.0349645220319231E-3</v>
      </c>
      <c r="I1641" s="4">
        <v>1.0349645220319231E-3</v>
      </c>
      <c r="J1641" s="4">
        <v>1.0349645220319231E-3</v>
      </c>
      <c r="K1641" s="4">
        <v>1.0349645220319231E-3</v>
      </c>
      <c r="L1641" s="4">
        <v>1.0349645220319231E-3</v>
      </c>
      <c r="M1641" s="4">
        <v>1.0349645220319231E-3</v>
      </c>
      <c r="N1641" t="s">
        <v>256</v>
      </c>
      <c r="O1641" t="s">
        <v>536</v>
      </c>
      <c r="P1641" t="s">
        <v>537</v>
      </c>
      <c r="Q1641" t="s">
        <v>650</v>
      </c>
    </row>
    <row r="1642" spans="1:18" x14ac:dyDescent="0.25">
      <c r="A1642" t="s">
        <v>537</v>
      </c>
      <c r="B1642" t="s">
        <v>163</v>
      </c>
      <c r="C1642" s="4">
        <v>3.2548251353915329E-3</v>
      </c>
      <c r="D1642" s="4">
        <v>3.2548251353915329E-3</v>
      </c>
      <c r="E1642" s="4">
        <v>3.2548251353915329E-3</v>
      </c>
      <c r="F1642" s="4">
        <v>3.2548251353915329E-3</v>
      </c>
      <c r="G1642" s="4">
        <v>3.2548251353915329E-3</v>
      </c>
      <c r="H1642" s="4">
        <v>3.2548251353915329E-3</v>
      </c>
      <c r="I1642" s="4">
        <v>3.2548251353915329E-3</v>
      </c>
      <c r="J1642" s="4">
        <v>3.2548251353915329E-3</v>
      </c>
      <c r="K1642" s="4">
        <v>3.2548251353915329E-3</v>
      </c>
      <c r="L1642" s="4">
        <v>3.2548251353915329E-3</v>
      </c>
      <c r="M1642" s="4">
        <v>3.2548251353915329E-3</v>
      </c>
      <c r="N1642" t="s">
        <v>333</v>
      </c>
      <c r="O1642" t="s">
        <v>536</v>
      </c>
      <c r="P1642" t="s">
        <v>537</v>
      </c>
      <c r="Q1642" t="s">
        <v>650</v>
      </c>
    </row>
    <row r="1643" spans="1:18" x14ac:dyDescent="0.25">
      <c r="A1643" t="s">
        <v>537</v>
      </c>
      <c r="B1643" t="s">
        <v>84</v>
      </c>
      <c r="C1643" s="4">
        <v>5.753938391326567E-4</v>
      </c>
      <c r="D1643" s="4">
        <v>5.753938391326567E-4</v>
      </c>
      <c r="E1643" s="4">
        <v>5.753938391326567E-4</v>
      </c>
      <c r="F1643" s="4">
        <v>5.753938391326567E-4</v>
      </c>
      <c r="G1643" s="4">
        <v>5.753938391326567E-4</v>
      </c>
      <c r="H1643" s="4">
        <v>5.753938391326567E-4</v>
      </c>
      <c r="I1643" s="4">
        <v>5.753938391326567E-4</v>
      </c>
      <c r="J1643" s="4">
        <v>5.753938391326567E-4</v>
      </c>
      <c r="K1643" s="4">
        <v>5.753938391326567E-4</v>
      </c>
      <c r="L1643" s="4">
        <v>5.753938391326567E-4</v>
      </c>
      <c r="M1643" s="4">
        <v>5.753938391326567E-4</v>
      </c>
      <c r="N1643" t="s">
        <v>333</v>
      </c>
      <c r="O1643" t="s">
        <v>536</v>
      </c>
      <c r="P1643" t="s">
        <v>537</v>
      </c>
      <c r="Q1643" t="s">
        <v>650</v>
      </c>
    </row>
    <row r="1644" spans="1:18" x14ac:dyDescent="0.25">
      <c r="A1644" t="s">
        <v>537</v>
      </c>
      <c r="B1644" t="s">
        <v>85</v>
      </c>
      <c r="C1644" s="4">
        <v>2.2447958345444299E-2</v>
      </c>
      <c r="D1644" s="4">
        <v>2.2447958345444299E-2</v>
      </c>
      <c r="E1644" s="4">
        <v>2.2447958345444299E-2</v>
      </c>
      <c r="F1644" s="4">
        <v>2.2447958345444299E-2</v>
      </c>
      <c r="G1644" s="4">
        <v>2.2447958345444299E-2</v>
      </c>
      <c r="H1644" s="4">
        <v>2.2447958345444299E-2</v>
      </c>
      <c r="I1644" s="4">
        <v>2.2447958345444299E-2</v>
      </c>
      <c r="J1644" s="4">
        <v>2.2447958345444299E-2</v>
      </c>
      <c r="K1644" s="4">
        <v>2.2447958345444299E-2</v>
      </c>
      <c r="L1644" s="4">
        <v>2.2447958345444299E-2</v>
      </c>
      <c r="M1644" s="4">
        <v>2.2447958345444299E-2</v>
      </c>
      <c r="N1644" t="s">
        <v>256</v>
      </c>
      <c r="O1644" t="s">
        <v>536</v>
      </c>
      <c r="P1644" t="s">
        <v>537</v>
      </c>
      <c r="Q1644" t="s">
        <v>650</v>
      </c>
    </row>
    <row r="1645" spans="1:18" x14ac:dyDescent="0.25">
      <c r="A1645" t="s">
        <v>537</v>
      </c>
      <c r="B1645" t="s">
        <v>116</v>
      </c>
      <c r="C1645" s="4">
        <v>5.5189373963879509E-3</v>
      </c>
      <c r="D1645" s="4">
        <v>5.5189373963879509E-3</v>
      </c>
      <c r="E1645" s="4">
        <v>5.5189373963879509E-3</v>
      </c>
      <c r="F1645" s="4">
        <v>5.5189373963879509E-3</v>
      </c>
      <c r="G1645" s="4">
        <v>5.5189373963879509E-3</v>
      </c>
      <c r="H1645" s="4">
        <v>5.5189373963879509E-3</v>
      </c>
      <c r="I1645" s="4">
        <v>5.5189373963879509E-3</v>
      </c>
      <c r="J1645" s="4">
        <v>5.5189373963879509E-3</v>
      </c>
      <c r="K1645" s="4">
        <v>5.5189373963879509E-3</v>
      </c>
      <c r="L1645" s="4">
        <v>5.5189373963879509E-3</v>
      </c>
      <c r="M1645" s="4">
        <v>5.5189373963879509E-3</v>
      </c>
      <c r="N1645" t="s">
        <v>256</v>
      </c>
      <c r="O1645" t="s">
        <v>536</v>
      </c>
      <c r="P1645" t="s">
        <v>537</v>
      </c>
      <c r="Q1645" t="s">
        <v>650</v>
      </c>
    </row>
    <row r="1646" spans="1:18" x14ac:dyDescent="0.25">
      <c r="A1646" t="s">
        <v>537</v>
      </c>
      <c r="B1646" t="s">
        <v>145</v>
      </c>
      <c r="C1646" s="4">
        <v>4.7876206933375459E-4</v>
      </c>
      <c r="D1646" s="4">
        <v>4.7876206933375459E-4</v>
      </c>
      <c r="E1646" s="4">
        <v>4.7876206933375459E-4</v>
      </c>
      <c r="F1646" s="4">
        <v>4.7876206933375459E-4</v>
      </c>
      <c r="G1646" s="4">
        <v>4.7876206933375459E-4</v>
      </c>
      <c r="H1646" s="4">
        <v>4.7876206933375459E-4</v>
      </c>
      <c r="I1646" s="4">
        <v>4.7876206933375459E-4</v>
      </c>
      <c r="J1646" s="4">
        <v>4.7876206933375459E-4</v>
      </c>
      <c r="K1646" s="4">
        <v>4.7876206933375459E-4</v>
      </c>
      <c r="L1646" s="4">
        <v>4.7876206933375459E-4</v>
      </c>
      <c r="M1646" s="4">
        <v>4.7876206933375459E-4</v>
      </c>
      <c r="N1646" t="s">
        <v>256</v>
      </c>
      <c r="O1646" t="s">
        <v>536</v>
      </c>
      <c r="P1646" t="s">
        <v>537</v>
      </c>
      <c r="Q1646" t="s">
        <v>650</v>
      </c>
    </row>
    <row r="1647" spans="1:18" x14ac:dyDescent="0.25">
      <c r="A1647" t="s">
        <v>537</v>
      </c>
      <c r="B1647" t="s">
        <v>86</v>
      </c>
      <c r="C1647" s="4">
        <f t="shared" ref="C1647:M1647" si="984">0.056281456328563*0.941794444922006/(0.056281456328563*0.941794444922006+0.0000893711852357033) * 59.105596743409%</f>
        <v>0.59006108207943131</v>
      </c>
      <c r="D1647" s="4">
        <f t="shared" si="984"/>
        <v>0.59006108207943131</v>
      </c>
      <c r="E1647" s="4">
        <f t="shared" si="984"/>
        <v>0.59006108207943131</v>
      </c>
      <c r="F1647" s="4">
        <f t="shared" si="984"/>
        <v>0.59006108207943131</v>
      </c>
      <c r="G1647" s="4">
        <f t="shared" si="984"/>
        <v>0.59006108207943131</v>
      </c>
      <c r="H1647" s="4">
        <f t="shared" si="984"/>
        <v>0.59006108207943131</v>
      </c>
      <c r="I1647" s="4">
        <f t="shared" si="984"/>
        <v>0.59006108207943131</v>
      </c>
      <c r="J1647" s="4">
        <f t="shared" si="984"/>
        <v>0.59006108207943131</v>
      </c>
      <c r="K1647" s="4">
        <f t="shared" si="984"/>
        <v>0.59006108207943131</v>
      </c>
      <c r="L1647" s="4">
        <f t="shared" si="984"/>
        <v>0.59006108207943131</v>
      </c>
      <c r="M1647" s="4">
        <f t="shared" si="984"/>
        <v>0.59006108207943131</v>
      </c>
      <c r="N1647" t="s">
        <v>256</v>
      </c>
      <c r="O1647" t="s">
        <v>536</v>
      </c>
      <c r="P1647" t="s">
        <v>537</v>
      </c>
      <c r="Q1647" t="s">
        <v>650</v>
      </c>
      <c r="R1647" t="s">
        <v>549</v>
      </c>
    </row>
    <row r="1648" spans="1:18" x14ac:dyDescent="0.25">
      <c r="A1648" t="s">
        <v>537</v>
      </c>
      <c r="B1648" t="s">
        <v>86</v>
      </c>
      <c r="C1648" s="4">
        <f t="shared" ref="C1648:M1648" si="985">0.0000893711852357033*0.941794444922006/(0.056281456328563*0.941794444922006+0.0000893711852357033) * 59.105596743409%</f>
        <v>9.3697750035187872E-4</v>
      </c>
      <c r="D1648" s="4">
        <f t="shared" si="985"/>
        <v>9.3697750035187872E-4</v>
      </c>
      <c r="E1648" s="4">
        <f t="shared" si="985"/>
        <v>9.3697750035187872E-4</v>
      </c>
      <c r="F1648" s="4">
        <f t="shared" si="985"/>
        <v>9.3697750035187872E-4</v>
      </c>
      <c r="G1648" s="4">
        <f t="shared" si="985"/>
        <v>9.3697750035187872E-4</v>
      </c>
      <c r="H1648" s="4">
        <f t="shared" si="985"/>
        <v>9.3697750035187872E-4</v>
      </c>
      <c r="I1648" s="4">
        <f t="shared" si="985"/>
        <v>9.3697750035187872E-4</v>
      </c>
      <c r="J1648" s="4">
        <f t="shared" si="985"/>
        <v>9.3697750035187872E-4</v>
      </c>
      <c r="K1648" s="4">
        <f t="shared" si="985"/>
        <v>9.3697750035187872E-4</v>
      </c>
      <c r="L1648" s="4">
        <f t="shared" si="985"/>
        <v>9.3697750035187872E-4</v>
      </c>
      <c r="M1648" s="4">
        <f t="shared" si="985"/>
        <v>9.3697750035187872E-4</v>
      </c>
      <c r="N1648" t="s">
        <v>254</v>
      </c>
      <c r="O1648" t="s">
        <v>510</v>
      </c>
      <c r="P1648" t="s">
        <v>537</v>
      </c>
      <c r="Q1648" t="s">
        <v>650</v>
      </c>
    </row>
    <row r="1649" spans="1:17" x14ac:dyDescent="0.25">
      <c r="A1649" t="s">
        <v>537</v>
      </c>
      <c r="B1649" t="s">
        <v>87</v>
      </c>
      <c r="C1649" s="4">
        <v>1.441089840803944E-4</v>
      </c>
      <c r="D1649" s="4">
        <v>1.441089840803944E-4</v>
      </c>
      <c r="E1649" s="4">
        <v>1.441089840803944E-4</v>
      </c>
      <c r="F1649" s="4">
        <v>1.441089840803944E-4</v>
      </c>
      <c r="G1649" s="4">
        <v>1.441089840803944E-4</v>
      </c>
      <c r="H1649" s="4">
        <v>1.441089840803944E-4</v>
      </c>
      <c r="I1649" s="4">
        <v>1.441089840803944E-4</v>
      </c>
      <c r="J1649" s="4">
        <v>1.441089840803944E-4</v>
      </c>
      <c r="K1649" s="4">
        <v>1.441089840803944E-4</v>
      </c>
      <c r="L1649" s="4">
        <v>1.441089840803944E-4</v>
      </c>
      <c r="M1649" s="4">
        <v>1.441089840803944E-4</v>
      </c>
      <c r="N1649" t="s">
        <v>256</v>
      </c>
      <c r="O1649" t="s">
        <v>536</v>
      </c>
      <c r="P1649" t="s">
        <v>537</v>
      </c>
      <c r="Q1649" t="s">
        <v>650</v>
      </c>
    </row>
    <row r="1650" spans="1:17" x14ac:dyDescent="0.25">
      <c r="A1650" t="s">
        <v>537</v>
      </c>
      <c r="B1650" t="s">
        <v>217</v>
      </c>
      <c r="C1650" s="4">
        <v>2.7258432685752171E-3</v>
      </c>
      <c r="D1650" s="4">
        <v>2.7258432685752171E-3</v>
      </c>
      <c r="E1650" s="4">
        <v>2.7258432685752171E-3</v>
      </c>
      <c r="F1650" s="4">
        <v>2.7258432685752171E-3</v>
      </c>
      <c r="G1650" s="4">
        <v>2.7258432685752171E-3</v>
      </c>
      <c r="H1650" s="4">
        <v>2.7258432685752171E-3</v>
      </c>
      <c r="I1650" s="4">
        <v>2.7258432685752171E-3</v>
      </c>
      <c r="J1650" s="4">
        <v>2.7258432685752171E-3</v>
      </c>
      <c r="K1650" s="4">
        <v>2.7258432685752171E-3</v>
      </c>
      <c r="L1650" s="4">
        <v>2.7258432685752171E-3</v>
      </c>
      <c r="M1650" s="4">
        <v>2.7258432685752171E-3</v>
      </c>
      <c r="N1650" t="s">
        <v>333</v>
      </c>
      <c r="O1650" t="s">
        <v>536</v>
      </c>
      <c r="P1650" t="s">
        <v>537</v>
      </c>
      <c r="Q1650" t="s">
        <v>650</v>
      </c>
    </row>
    <row r="1651" spans="1:17" x14ac:dyDescent="0.25">
      <c r="A1651" t="s">
        <v>537</v>
      </c>
      <c r="B1651" t="s">
        <v>128</v>
      </c>
      <c r="C1651" s="4">
        <v>3.6536722226443419E-3</v>
      </c>
      <c r="D1651" s="4">
        <v>3.6536722226443419E-3</v>
      </c>
      <c r="E1651" s="4">
        <v>3.6536722226443419E-3</v>
      </c>
      <c r="F1651" s="4">
        <v>3.6536722226443419E-3</v>
      </c>
      <c r="G1651" s="4">
        <v>3.6536722226443419E-3</v>
      </c>
      <c r="H1651" s="4">
        <v>3.6536722226443419E-3</v>
      </c>
      <c r="I1651" s="4">
        <v>3.6536722226443419E-3</v>
      </c>
      <c r="J1651" s="4">
        <v>3.6536722226443419E-3</v>
      </c>
      <c r="K1651" s="4">
        <v>3.6536722226443419E-3</v>
      </c>
      <c r="L1651" s="4">
        <v>3.6536722226443419E-3</v>
      </c>
      <c r="M1651" s="4">
        <v>3.6536722226443419E-3</v>
      </c>
      <c r="N1651" t="s">
        <v>256</v>
      </c>
      <c r="O1651" t="s">
        <v>536</v>
      </c>
      <c r="P1651" t="s">
        <v>537</v>
      </c>
      <c r="Q1651" t="s">
        <v>650</v>
      </c>
    </row>
    <row r="1652" spans="1:17" x14ac:dyDescent="0.25">
      <c r="A1652" t="s">
        <v>537</v>
      </c>
      <c r="B1652" t="s">
        <v>154</v>
      </c>
      <c r="C1652" s="4">
        <v>1.746775564610841E-3</v>
      </c>
      <c r="D1652" s="4">
        <v>1.746775564610841E-3</v>
      </c>
      <c r="E1652" s="4">
        <v>1.746775564610841E-3</v>
      </c>
      <c r="F1652" s="4">
        <v>1.746775564610841E-3</v>
      </c>
      <c r="G1652" s="4">
        <v>1.746775564610841E-3</v>
      </c>
      <c r="H1652" s="4">
        <v>1.746775564610841E-3</v>
      </c>
      <c r="I1652" s="4">
        <v>1.746775564610841E-3</v>
      </c>
      <c r="J1652" s="4">
        <v>1.746775564610841E-3</v>
      </c>
      <c r="K1652" s="4">
        <v>1.746775564610841E-3</v>
      </c>
      <c r="L1652" s="4">
        <v>1.746775564610841E-3</v>
      </c>
      <c r="M1652" s="4">
        <v>1.746775564610841E-3</v>
      </c>
      <c r="N1652" t="s">
        <v>333</v>
      </c>
      <c r="O1652" t="s">
        <v>536</v>
      </c>
      <c r="P1652" t="s">
        <v>537</v>
      </c>
      <c r="Q1652" t="s">
        <v>650</v>
      </c>
    </row>
    <row r="1653" spans="1:17" x14ac:dyDescent="0.25">
      <c r="A1653" t="s">
        <v>537</v>
      </c>
      <c r="B1653" t="s">
        <v>91</v>
      </c>
      <c r="C1653" s="4">
        <v>7.0278730190737916E-3</v>
      </c>
      <c r="D1653" s="4">
        <v>7.0278730190737916E-3</v>
      </c>
      <c r="E1653" s="4">
        <v>7.0278730190737916E-3</v>
      </c>
      <c r="F1653" s="4">
        <v>7.0278730190737916E-3</v>
      </c>
      <c r="G1653" s="4">
        <v>7.0278730190737916E-3</v>
      </c>
      <c r="H1653" s="4">
        <v>7.0278730190737916E-3</v>
      </c>
      <c r="I1653" s="4">
        <v>7.0278730190737916E-3</v>
      </c>
      <c r="J1653" s="4">
        <v>7.0278730190737916E-3</v>
      </c>
      <c r="K1653" s="4">
        <v>7.0278730190737916E-3</v>
      </c>
      <c r="L1653" s="4">
        <v>7.0278730190737916E-3</v>
      </c>
      <c r="M1653" s="4">
        <v>7.0278730190737916E-3</v>
      </c>
      <c r="N1653" t="s">
        <v>333</v>
      </c>
      <c r="O1653" t="s">
        <v>536</v>
      </c>
      <c r="P1653" t="s">
        <v>537</v>
      </c>
      <c r="Q1653" t="s">
        <v>650</v>
      </c>
    </row>
    <row r="1654" spans="1:17" x14ac:dyDescent="0.25">
      <c r="A1654" t="s">
        <v>537</v>
      </c>
      <c r="B1654" t="s">
        <v>117</v>
      </c>
      <c r="C1654" s="4">
        <v>1.9241751796601099E-2</v>
      </c>
      <c r="D1654" s="4">
        <v>1.9241751796601099E-2</v>
      </c>
      <c r="E1654" s="4">
        <v>1.9241751796601099E-2</v>
      </c>
      <c r="F1654" s="4">
        <v>1.9241751796601099E-2</v>
      </c>
      <c r="G1654" s="4">
        <v>1.9241751796601099E-2</v>
      </c>
      <c r="H1654" s="4">
        <v>1.9241751796601099E-2</v>
      </c>
      <c r="I1654" s="4">
        <v>1.9241751796601099E-2</v>
      </c>
      <c r="J1654" s="4">
        <v>1.9241751796601099E-2</v>
      </c>
      <c r="K1654" s="4">
        <v>1.9241751796601099E-2</v>
      </c>
      <c r="L1654" s="4">
        <v>1.9241751796601099E-2</v>
      </c>
      <c r="M1654" s="4">
        <v>1.9241751796601099E-2</v>
      </c>
      <c r="N1654" t="s">
        <v>333</v>
      </c>
      <c r="O1654" t="s">
        <v>536</v>
      </c>
      <c r="P1654" t="s">
        <v>537</v>
      </c>
      <c r="Q1654" t="s">
        <v>650</v>
      </c>
    </row>
    <row r="1655" spans="1:17" x14ac:dyDescent="0.25">
      <c r="A1655" t="s">
        <v>537</v>
      </c>
      <c r="B1655" t="s">
        <v>96</v>
      </c>
      <c r="C1655" s="4">
        <v>7.8852360279141039E-4</v>
      </c>
      <c r="D1655" s="4">
        <v>7.8852360279141039E-4</v>
      </c>
      <c r="E1655" s="4">
        <v>7.8852360279141039E-4</v>
      </c>
      <c r="F1655" s="4">
        <v>7.8852360279141039E-4</v>
      </c>
      <c r="G1655" s="4">
        <v>7.8852360279141039E-4</v>
      </c>
      <c r="H1655" s="4">
        <v>7.8852360279141039E-4</v>
      </c>
      <c r="I1655" s="4">
        <v>7.8852360279141039E-4</v>
      </c>
      <c r="J1655" s="4">
        <v>7.8852360279141039E-4</v>
      </c>
      <c r="K1655" s="4">
        <v>7.8852360279141039E-4</v>
      </c>
      <c r="L1655" s="4">
        <v>7.8852360279141039E-4</v>
      </c>
      <c r="M1655" s="4">
        <v>7.8852360279141039E-4</v>
      </c>
      <c r="N1655" t="s">
        <v>333</v>
      </c>
      <c r="O1655" t="s">
        <v>536</v>
      </c>
      <c r="P1655" t="s">
        <v>537</v>
      </c>
      <c r="Q1655" t="s">
        <v>650</v>
      </c>
    </row>
    <row r="1656" spans="1:17" x14ac:dyDescent="0.25">
      <c r="A1656" t="s">
        <v>537</v>
      </c>
      <c r="B1656" t="s">
        <v>97</v>
      </c>
      <c r="C1656" s="4">
        <v>7.7543734251986754E-2</v>
      </c>
      <c r="D1656" s="4">
        <v>7.7543734251986754E-2</v>
      </c>
      <c r="E1656" s="4">
        <v>7.7543734251986754E-2</v>
      </c>
      <c r="F1656" s="4">
        <v>7.7543734251986754E-2</v>
      </c>
      <c r="G1656" s="4">
        <v>7.7543734251986754E-2</v>
      </c>
      <c r="H1656" s="4">
        <v>7.7543734251986754E-2</v>
      </c>
      <c r="I1656" s="4">
        <v>7.7543734251986754E-2</v>
      </c>
      <c r="J1656" s="4">
        <v>7.7543734251986754E-2</v>
      </c>
      <c r="K1656" s="4">
        <v>7.7543734251986754E-2</v>
      </c>
      <c r="L1656" s="4">
        <v>7.7543734251986754E-2</v>
      </c>
      <c r="M1656" s="4">
        <v>7.7543734251986754E-2</v>
      </c>
      <c r="N1656" t="s">
        <v>308</v>
      </c>
      <c r="O1656" t="s">
        <v>536</v>
      </c>
      <c r="P1656" t="s">
        <v>537</v>
      </c>
      <c r="Q1656" t="s">
        <v>650</v>
      </c>
    </row>
    <row r="1657" spans="1:17" x14ac:dyDescent="0.25">
      <c r="A1657" t="s">
        <v>537</v>
      </c>
      <c r="B1657" t="s">
        <v>98</v>
      </c>
      <c r="C1657" s="4">
        <v>2.1338319168025259E-3</v>
      </c>
      <c r="D1657" s="4">
        <v>2.1338319168025259E-3</v>
      </c>
      <c r="E1657" s="4">
        <v>2.1338319168025259E-3</v>
      </c>
      <c r="F1657" s="4">
        <v>2.1338319168025259E-3</v>
      </c>
      <c r="G1657" s="4">
        <v>2.1338319168025259E-3</v>
      </c>
      <c r="H1657" s="4">
        <v>2.1338319168025259E-3</v>
      </c>
      <c r="I1657" s="4">
        <v>2.1338319168025259E-3</v>
      </c>
      <c r="J1657" s="4">
        <v>2.1338319168025259E-3</v>
      </c>
      <c r="K1657" s="4">
        <v>2.1338319168025259E-3</v>
      </c>
      <c r="L1657" s="4">
        <v>2.1338319168025259E-3</v>
      </c>
      <c r="M1657" s="4">
        <v>2.1338319168025259E-3</v>
      </c>
      <c r="N1657" t="s">
        <v>256</v>
      </c>
      <c r="O1657" t="s">
        <v>536</v>
      </c>
      <c r="P1657" t="s">
        <v>537</v>
      </c>
      <c r="Q1657" t="s">
        <v>650</v>
      </c>
    </row>
    <row r="1658" spans="1:17" x14ac:dyDescent="0.25">
      <c r="A1658" t="s">
        <v>537</v>
      </c>
      <c r="B1658" t="s">
        <v>99</v>
      </c>
      <c r="C1658" s="4">
        <v>2.1338901426546798E-2</v>
      </c>
      <c r="D1658" s="4">
        <v>2.1338901426546798E-2</v>
      </c>
      <c r="E1658" s="4">
        <v>2.1338901426546798E-2</v>
      </c>
      <c r="F1658" s="4">
        <v>2.1338901426546798E-2</v>
      </c>
      <c r="G1658" s="4">
        <v>2.1338901426546798E-2</v>
      </c>
      <c r="H1658" s="4">
        <v>2.1338901426546798E-2</v>
      </c>
      <c r="I1658" s="4">
        <v>2.1338901426546798E-2</v>
      </c>
      <c r="J1658" s="4">
        <v>2.1338901426546798E-2</v>
      </c>
      <c r="K1658" s="4">
        <v>2.1338901426546798E-2</v>
      </c>
      <c r="L1658" s="4">
        <v>2.1338901426546798E-2</v>
      </c>
      <c r="M1658" s="4">
        <v>2.1338901426546798E-2</v>
      </c>
      <c r="N1658" t="s">
        <v>256</v>
      </c>
      <c r="O1658" t="s">
        <v>536</v>
      </c>
      <c r="P1658" t="s">
        <v>537</v>
      </c>
      <c r="Q1658" t="s">
        <v>650</v>
      </c>
    </row>
    <row r="1659" spans="1:17" x14ac:dyDescent="0.25">
      <c r="A1659" t="s">
        <v>537</v>
      </c>
      <c r="B1659" t="s">
        <v>182</v>
      </c>
      <c r="C1659" s="4">
        <v>3.1769480581359671E-3</v>
      </c>
      <c r="D1659" s="4">
        <v>3.1769480581359671E-3</v>
      </c>
      <c r="E1659" s="4">
        <v>3.1769480581359671E-3</v>
      </c>
      <c r="F1659" s="4">
        <v>3.1769480581359671E-3</v>
      </c>
      <c r="G1659" s="4">
        <v>3.1769480581359671E-3</v>
      </c>
      <c r="H1659" s="4">
        <v>3.1769480581359671E-3</v>
      </c>
      <c r="I1659" s="4">
        <v>3.1769480581359671E-3</v>
      </c>
      <c r="J1659" s="4">
        <v>3.1769480581359671E-3</v>
      </c>
      <c r="K1659" s="4">
        <v>3.1769480581359671E-3</v>
      </c>
      <c r="L1659" s="4">
        <v>3.1769480581359671E-3</v>
      </c>
      <c r="M1659" s="4">
        <v>3.1769480581359671E-3</v>
      </c>
      <c r="N1659" t="s">
        <v>333</v>
      </c>
      <c r="O1659" t="s">
        <v>536</v>
      </c>
      <c r="P1659" t="s">
        <v>537</v>
      </c>
      <c r="Q1659" t="s">
        <v>650</v>
      </c>
    </row>
    <row r="1660" spans="1:17" x14ac:dyDescent="0.25">
      <c r="A1660" t="s">
        <v>537</v>
      </c>
      <c r="B1660" t="s">
        <v>119</v>
      </c>
      <c r="C1660" s="4">
        <v>5.2768571567798593E-2</v>
      </c>
      <c r="D1660" s="4">
        <v>5.2768571567798593E-2</v>
      </c>
      <c r="E1660" s="4">
        <v>5.2768571567798593E-2</v>
      </c>
      <c r="F1660" s="4">
        <v>5.2768571567798593E-2</v>
      </c>
      <c r="G1660" s="4">
        <v>5.2768571567798593E-2</v>
      </c>
      <c r="H1660" s="4">
        <v>5.2768571567798593E-2</v>
      </c>
      <c r="I1660" s="4">
        <v>5.2768571567798593E-2</v>
      </c>
      <c r="J1660" s="4">
        <v>5.2768571567798593E-2</v>
      </c>
      <c r="K1660" s="4">
        <v>5.2768571567798593E-2</v>
      </c>
      <c r="L1660" s="4">
        <v>5.2768571567798593E-2</v>
      </c>
      <c r="M1660" s="4">
        <v>5.2768571567798593E-2</v>
      </c>
      <c r="N1660" t="s">
        <v>256</v>
      </c>
      <c r="O1660" t="s">
        <v>536</v>
      </c>
      <c r="P1660" t="s">
        <v>537</v>
      </c>
      <c r="Q1660" t="s">
        <v>650</v>
      </c>
    </row>
    <row r="1661" spans="1:17" x14ac:dyDescent="0.25">
      <c r="A1661" t="s">
        <v>537</v>
      </c>
      <c r="B1661" t="s">
        <v>102</v>
      </c>
      <c r="C1661" s="4">
        <v>2.4724619733226139E-3</v>
      </c>
      <c r="D1661" s="4">
        <v>2.4724619733226139E-3</v>
      </c>
      <c r="E1661" s="4">
        <v>2.4724619733226139E-3</v>
      </c>
      <c r="F1661" s="4">
        <v>2.4724619733226139E-3</v>
      </c>
      <c r="G1661" s="4">
        <v>2.4724619733226139E-3</v>
      </c>
      <c r="H1661" s="4">
        <v>2.4724619733226139E-3</v>
      </c>
      <c r="I1661" s="4">
        <v>2.4724619733226139E-3</v>
      </c>
      <c r="J1661" s="4">
        <v>2.4724619733226139E-3</v>
      </c>
      <c r="K1661" s="4">
        <v>2.4724619733226139E-3</v>
      </c>
      <c r="L1661" s="4">
        <v>2.4724619733226139E-3</v>
      </c>
      <c r="M1661" s="4">
        <v>2.4724619733226139E-3</v>
      </c>
      <c r="N1661" t="s">
        <v>256</v>
      </c>
      <c r="O1661" t="s">
        <v>536</v>
      </c>
      <c r="P1661" t="s">
        <v>537</v>
      </c>
      <c r="Q1661" t="s">
        <v>650</v>
      </c>
    </row>
    <row r="1662" spans="1:17" x14ac:dyDescent="0.25">
      <c r="A1662" t="s">
        <v>537</v>
      </c>
      <c r="B1662" t="s">
        <v>148</v>
      </c>
      <c r="C1662" s="4">
        <v>3.3995746038456183E-2</v>
      </c>
      <c r="D1662" s="4">
        <v>3.3995746038456183E-2</v>
      </c>
      <c r="E1662" s="4">
        <v>3.3995746038456183E-2</v>
      </c>
      <c r="F1662" s="4">
        <v>3.3995746038456183E-2</v>
      </c>
      <c r="G1662" s="4">
        <v>3.3995746038456183E-2</v>
      </c>
      <c r="H1662" s="4">
        <v>3.3995746038456183E-2</v>
      </c>
      <c r="I1662" s="4">
        <v>3.3995746038456183E-2</v>
      </c>
      <c r="J1662" s="4">
        <v>3.3995746038456183E-2</v>
      </c>
      <c r="K1662" s="4">
        <v>3.3995746038456183E-2</v>
      </c>
      <c r="L1662" s="4">
        <v>3.3995746038456183E-2</v>
      </c>
      <c r="M1662" s="4">
        <v>3.3995746038456183E-2</v>
      </c>
      <c r="N1662" t="s">
        <v>256</v>
      </c>
      <c r="O1662" t="s">
        <v>536</v>
      </c>
      <c r="P1662" t="s">
        <v>537</v>
      </c>
      <c r="Q1662" t="s">
        <v>650</v>
      </c>
    </row>
    <row r="1663" spans="1:17" x14ac:dyDescent="0.25">
      <c r="A1663" t="s">
        <v>537</v>
      </c>
      <c r="B1663" t="s">
        <v>149</v>
      </c>
      <c r="C1663" s="4">
        <v>1.2372993582660121E-4</v>
      </c>
      <c r="D1663" s="4">
        <v>1.2372993582660121E-4</v>
      </c>
      <c r="E1663" s="4">
        <v>1.2372993582660121E-4</v>
      </c>
      <c r="F1663" s="4">
        <v>1.2372993582660121E-4</v>
      </c>
      <c r="G1663" s="4">
        <v>1.2372993582660121E-4</v>
      </c>
      <c r="H1663" s="4">
        <v>1.2372993582660121E-4</v>
      </c>
      <c r="I1663" s="4">
        <v>1.2372993582660121E-4</v>
      </c>
      <c r="J1663" s="4">
        <v>1.2372993582660121E-4</v>
      </c>
      <c r="K1663" s="4">
        <v>1.2372993582660121E-4</v>
      </c>
      <c r="L1663" s="4">
        <v>1.2372993582660121E-4</v>
      </c>
      <c r="M1663" s="4">
        <v>1.2372993582660121E-4</v>
      </c>
      <c r="N1663" t="s">
        <v>256</v>
      </c>
      <c r="O1663" t="s">
        <v>536</v>
      </c>
      <c r="P1663" t="s">
        <v>537</v>
      </c>
      <c r="Q1663" t="s">
        <v>650</v>
      </c>
    </row>
    <row r="1664" spans="1:17" x14ac:dyDescent="0.25">
      <c r="A1664" t="s">
        <v>537</v>
      </c>
      <c r="B1664" t="s">
        <v>218</v>
      </c>
      <c r="C1664" s="4">
        <v>5.5150639215734262E-4</v>
      </c>
      <c r="D1664" s="4">
        <v>5.5150639215734262E-4</v>
      </c>
      <c r="E1664" s="4">
        <v>5.5150639215734262E-4</v>
      </c>
      <c r="F1664" s="4">
        <v>5.5150639215734262E-4</v>
      </c>
      <c r="G1664" s="4">
        <v>5.5150639215734262E-4</v>
      </c>
      <c r="H1664" s="4">
        <v>5.5150639215734262E-4</v>
      </c>
      <c r="I1664" s="4">
        <v>5.5150639215734262E-4</v>
      </c>
      <c r="J1664" s="4">
        <v>5.5150639215734262E-4</v>
      </c>
      <c r="K1664" s="4">
        <v>5.5150639215734262E-4</v>
      </c>
      <c r="L1664" s="4">
        <v>5.5150639215734262E-4</v>
      </c>
      <c r="M1664" s="4">
        <v>5.5150639215734262E-4</v>
      </c>
      <c r="N1664" t="s">
        <v>256</v>
      </c>
      <c r="O1664" t="s">
        <v>536</v>
      </c>
      <c r="P1664" t="s">
        <v>537</v>
      </c>
      <c r="Q1664" t="s">
        <v>650</v>
      </c>
    </row>
    <row r="1665" spans="1:17" x14ac:dyDescent="0.25">
      <c r="A1665" t="s">
        <v>537</v>
      </c>
      <c r="B1665" t="s">
        <v>103</v>
      </c>
      <c r="C1665" s="4">
        <v>1.1716497099627219E-3</v>
      </c>
      <c r="D1665" s="4">
        <v>1.1716497099627219E-3</v>
      </c>
      <c r="E1665" s="4">
        <v>1.1716497099627219E-3</v>
      </c>
      <c r="F1665" s="4">
        <v>1.1716497099627219E-3</v>
      </c>
      <c r="G1665" s="4">
        <v>1.1716497099627219E-3</v>
      </c>
      <c r="H1665" s="4">
        <v>1.1716497099627219E-3</v>
      </c>
      <c r="I1665" s="4">
        <v>1.1716497099627219E-3</v>
      </c>
      <c r="J1665" s="4">
        <v>1.1716497099627219E-3</v>
      </c>
      <c r="K1665" s="4">
        <v>1.1716497099627219E-3</v>
      </c>
      <c r="L1665" s="4">
        <v>1.1716497099627219E-3</v>
      </c>
      <c r="M1665" s="4">
        <v>1.1716497099627219E-3</v>
      </c>
      <c r="N1665" t="s">
        <v>256</v>
      </c>
      <c r="O1665" t="s">
        <v>536</v>
      </c>
      <c r="P1665" t="s">
        <v>537</v>
      </c>
      <c r="Q1665" t="s">
        <v>650</v>
      </c>
    </row>
    <row r="1666" spans="1:17" x14ac:dyDescent="0.25">
      <c r="A1666" t="s">
        <v>537</v>
      </c>
      <c r="B1666" t="s">
        <v>150</v>
      </c>
      <c r="C1666" s="4">
        <v>6.7961214633792443E-3</v>
      </c>
      <c r="D1666" s="4">
        <v>6.7961214633792443E-3</v>
      </c>
      <c r="E1666" s="4">
        <v>6.7961214633792443E-3</v>
      </c>
      <c r="F1666" s="4">
        <v>6.7961214633792443E-3</v>
      </c>
      <c r="G1666" s="4">
        <v>6.7961214633792443E-3</v>
      </c>
      <c r="H1666" s="4">
        <v>6.7961214633792443E-3</v>
      </c>
      <c r="I1666" s="4">
        <v>6.7961214633792443E-3</v>
      </c>
      <c r="J1666" s="4">
        <v>6.7961214633792443E-3</v>
      </c>
      <c r="K1666" s="4">
        <v>6.7961214633792443E-3</v>
      </c>
      <c r="L1666" s="4">
        <v>6.7961214633792443E-3</v>
      </c>
      <c r="M1666" s="4">
        <v>6.7961214633792443E-3</v>
      </c>
      <c r="N1666" t="s">
        <v>256</v>
      </c>
      <c r="O1666" t="s">
        <v>536</v>
      </c>
      <c r="P1666" t="s">
        <v>537</v>
      </c>
      <c r="Q1666" t="s">
        <v>650</v>
      </c>
    </row>
    <row r="1667" spans="1:17" x14ac:dyDescent="0.25">
      <c r="A1667" t="s">
        <v>537</v>
      </c>
      <c r="B1667" t="s">
        <v>130</v>
      </c>
      <c r="C1667" s="4">
        <v>4.293428773183062E-3</v>
      </c>
      <c r="D1667" s="4">
        <v>4.293428773183062E-3</v>
      </c>
      <c r="E1667" s="4">
        <v>4.293428773183062E-3</v>
      </c>
      <c r="F1667" s="4">
        <v>4.293428773183062E-3</v>
      </c>
      <c r="G1667" s="4">
        <v>4.293428773183062E-3</v>
      </c>
      <c r="H1667" s="4">
        <v>4.293428773183062E-3</v>
      </c>
      <c r="I1667" s="4">
        <v>4.293428773183062E-3</v>
      </c>
      <c r="J1667" s="4">
        <v>4.293428773183062E-3</v>
      </c>
      <c r="K1667" s="4">
        <v>4.293428773183062E-3</v>
      </c>
      <c r="L1667" s="4">
        <v>4.293428773183062E-3</v>
      </c>
      <c r="M1667" s="4">
        <v>4.293428773183062E-3</v>
      </c>
      <c r="N1667" t="s">
        <v>333</v>
      </c>
      <c r="O1667" t="s">
        <v>536</v>
      </c>
      <c r="P1667" t="s">
        <v>537</v>
      </c>
      <c r="Q1667" t="s">
        <v>650</v>
      </c>
    </row>
    <row r="1668" spans="1:17" x14ac:dyDescent="0.25">
      <c r="A1668" t="s">
        <v>537</v>
      </c>
      <c r="B1668" t="s">
        <v>131</v>
      </c>
      <c r="C1668" s="4">
        <v>4.883693349391142E-4</v>
      </c>
      <c r="D1668" s="4">
        <v>4.883693349391142E-4</v>
      </c>
      <c r="E1668" s="4">
        <v>4.883693349391142E-4</v>
      </c>
      <c r="F1668" s="4">
        <v>4.883693349391142E-4</v>
      </c>
      <c r="G1668" s="4">
        <v>4.883693349391142E-4</v>
      </c>
      <c r="H1668" s="4">
        <v>4.883693349391142E-4</v>
      </c>
      <c r="I1668" s="4">
        <v>4.883693349391142E-4</v>
      </c>
      <c r="J1668" s="4">
        <v>4.883693349391142E-4</v>
      </c>
      <c r="K1668" s="4">
        <v>4.883693349391142E-4</v>
      </c>
      <c r="L1668" s="4">
        <v>4.883693349391142E-4</v>
      </c>
      <c r="M1668" s="4">
        <v>4.883693349391142E-4</v>
      </c>
      <c r="N1668" t="s">
        <v>256</v>
      </c>
      <c r="O1668" t="s">
        <v>536</v>
      </c>
      <c r="P1668" t="s">
        <v>537</v>
      </c>
      <c r="Q1668" t="s">
        <v>650</v>
      </c>
    </row>
    <row r="1669" spans="1:17" x14ac:dyDescent="0.25">
      <c r="A1669" t="s">
        <v>537</v>
      </c>
      <c r="B1669" t="s">
        <v>132</v>
      </c>
      <c r="C1669" s="4">
        <v>5.3436775814053301E-5</v>
      </c>
      <c r="D1669" s="4">
        <v>5.3436775814053301E-5</v>
      </c>
      <c r="E1669" s="4">
        <v>5.3436775814053301E-5</v>
      </c>
      <c r="F1669" s="4">
        <v>5.3436775814053301E-5</v>
      </c>
      <c r="G1669" s="4">
        <v>5.3436775814053301E-5</v>
      </c>
      <c r="H1669" s="4">
        <v>5.3436775814053301E-5</v>
      </c>
      <c r="I1669" s="4">
        <v>5.3436775814053301E-5</v>
      </c>
      <c r="J1669" s="4">
        <v>5.3436775814053301E-5</v>
      </c>
      <c r="K1669" s="4">
        <v>5.3436775814053301E-5</v>
      </c>
      <c r="L1669" s="4">
        <v>5.3436775814053301E-5</v>
      </c>
      <c r="M1669" s="4">
        <v>5.3436775814053301E-5</v>
      </c>
      <c r="N1669" t="s">
        <v>333</v>
      </c>
      <c r="O1669" t="s">
        <v>536</v>
      </c>
      <c r="P1669" t="s">
        <v>537</v>
      </c>
      <c r="Q1669" t="s">
        <v>650</v>
      </c>
    </row>
    <row r="1670" spans="1:17" x14ac:dyDescent="0.25">
      <c r="A1670" t="s">
        <v>537</v>
      </c>
      <c r="B1670" t="s">
        <v>133</v>
      </c>
      <c r="C1670" s="4">
        <v>1.2046928810599429E-3</v>
      </c>
      <c r="D1670" s="4">
        <v>1.2046928810599429E-3</v>
      </c>
      <c r="E1670" s="4">
        <v>1.2046928810599429E-3</v>
      </c>
      <c r="F1670" s="4">
        <v>1.2046928810599429E-3</v>
      </c>
      <c r="G1670" s="4">
        <v>1.2046928810599429E-3</v>
      </c>
      <c r="H1670" s="4">
        <v>1.2046928810599429E-3</v>
      </c>
      <c r="I1670" s="4">
        <v>1.2046928810599429E-3</v>
      </c>
      <c r="J1670" s="4">
        <v>1.2046928810599429E-3</v>
      </c>
      <c r="K1670" s="4">
        <v>1.2046928810599429E-3</v>
      </c>
      <c r="L1670" s="4">
        <v>1.2046928810599429E-3</v>
      </c>
      <c r="M1670" s="4">
        <v>1.2046928810599429E-3</v>
      </c>
      <c r="N1670" t="s">
        <v>256</v>
      </c>
      <c r="O1670" t="s">
        <v>536</v>
      </c>
      <c r="P1670" t="s">
        <v>537</v>
      </c>
      <c r="Q1670" t="s">
        <v>650</v>
      </c>
    </row>
    <row r="1671" spans="1:17" x14ac:dyDescent="0.25">
      <c r="A1671" t="s">
        <v>537</v>
      </c>
      <c r="B1671" t="s">
        <v>219</v>
      </c>
      <c r="C1671" s="4">
        <v>2.8676232185694639E-5</v>
      </c>
      <c r="D1671" s="4">
        <v>2.8676232185694639E-5</v>
      </c>
      <c r="E1671" s="4">
        <v>2.8676232185694639E-5</v>
      </c>
      <c r="F1671" s="4">
        <v>2.8676232185694639E-5</v>
      </c>
      <c r="G1671" s="4">
        <v>2.8676232185694639E-5</v>
      </c>
      <c r="H1671" s="4">
        <v>2.8676232185694639E-5</v>
      </c>
      <c r="I1671" s="4">
        <v>2.8676232185694639E-5</v>
      </c>
      <c r="J1671" s="4">
        <v>2.8676232185694639E-5</v>
      </c>
      <c r="K1671" s="4">
        <v>2.8676232185694639E-5</v>
      </c>
      <c r="L1671" s="4">
        <v>2.8676232185694639E-5</v>
      </c>
      <c r="M1671" s="4">
        <v>2.8676232185694639E-5</v>
      </c>
      <c r="N1671" t="s">
        <v>256</v>
      </c>
      <c r="O1671" t="s">
        <v>536</v>
      </c>
      <c r="P1671" t="s">
        <v>537</v>
      </c>
      <c r="Q1671" t="s">
        <v>650</v>
      </c>
    </row>
    <row r="1672" spans="1:17" x14ac:dyDescent="0.25">
      <c r="A1672" t="s">
        <v>537</v>
      </c>
      <c r="B1672" t="s">
        <v>151</v>
      </c>
      <c r="C1672" s="4">
        <v>3.098450438861072E-3</v>
      </c>
      <c r="D1672" s="4">
        <v>3.098450438861072E-3</v>
      </c>
      <c r="E1672" s="4">
        <v>3.098450438861072E-3</v>
      </c>
      <c r="F1672" s="4">
        <v>3.098450438861072E-3</v>
      </c>
      <c r="G1672" s="4">
        <v>3.098450438861072E-3</v>
      </c>
      <c r="H1672" s="4">
        <v>3.098450438861072E-3</v>
      </c>
      <c r="I1672" s="4">
        <v>3.098450438861072E-3</v>
      </c>
      <c r="J1672" s="4">
        <v>3.098450438861072E-3</v>
      </c>
      <c r="K1672" s="4">
        <v>3.098450438861072E-3</v>
      </c>
      <c r="L1672" s="4">
        <v>3.098450438861072E-3</v>
      </c>
      <c r="M1672" s="4">
        <v>3.098450438861072E-3</v>
      </c>
      <c r="N1672" t="s">
        <v>333</v>
      </c>
      <c r="O1672" t="s">
        <v>536</v>
      </c>
      <c r="P1672" t="s">
        <v>537</v>
      </c>
      <c r="Q1672" t="s">
        <v>650</v>
      </c>
    </row>
    <row r="1673" spans="1:17" x14ac:dyDescent="0.25">
      <c r="A1673" t="s">
        <v>537</v>
      </c>
      <c r="B1673" t="s">
        <v>134</v>
      </c>
      <c r="C1673" s="4">
        <v>1.317151601991263E-3</v>
      </c>
      <c r="D1673" s="4">
        <v>1.317151601991263E-3</v>
      </c>
      <c r="E1673" s="4">
        <v>1.317151601991263E-3</v>
      </c>
      <c r="F1673" s="4">
        <v>1.317151601991263E-3</v>
      </c>
      <c r="G1673" s="4">
        <v>1.317151601991263E-3</v>
      </c>
      <c r="H1673" s="4">
        <v>1.317151601991263E-3</v>
      </c>
      <c r="I1673" s="4">
        <v>1.317151601991263E-3</v>
      </c>
      <c r="J1673" s="4">
        <v>1.317151601991263E-3</v>
      </c>
      <c r="K1673" s="4">
        <v>1.317151601991263E-3</v>
      </c>
      <c r="L1673" s="4">
        <v>1.317151601991263E-3</v>
      </c>
      <c r="M1673" s="4">
        <v>1.317151601991263E-3</v>
      </c>
      <c r="N1673" t="s">
        <v>256</v>
      </c>
      <c r="O1673" t="s">
        <v>536</v>
      </c>
      <c r="P1673" t="s">
        <v>537</v>
      </c>
      <c r="Q1673" t="s">
        <v>650</v>
      </c>
    </row>
    <row r="1674" spans="1:17" x14ac:dyDescent="0.25">
      <c r="A1674" t="s">
        <v>537</v>
      </c>
      <c r="B1674" t="s">
        <v>120</v>
      </c>
      <c r="C1674" s="4">
        <v>1.4197585087381769E-3</v>
      </c>
      <c r="D1674" s="4">
        <v>1.4197585087381769E-3</v>
      </c>
      <c r="E1674" s="4">
        <v>1.4197585087381769E-3</v>
      </c>
      <c r="F1674" s="4">
        <v>1.4197585087381769E-3</v>
      </c>
      <c r="G1674" s="4">
        <v>1.4197585087381769E-3</v>
      </c>
      <c r="H1674" s="4">
        <v>1.4197585087381769E-3</v>
      </c>
      <c r="I1674" s="4">
        <v>1.4197585087381769E-3</v>
      </c>
      <c r="J1674" s="4">
        <v>1.4197585087381769E-3</v>
      </c>
      <c r="K1674" s="4">
        <v>1.4197585087381769E-3</v>
      </c>
      <c r="L1674" s="4">
        <v>1.4197585087381769E-3</v>
      </c>
      <c r="M1674" s="4">
        <v>1.4197585087381769E-3</v>
      </c>
      <c r="N1674" t="s">
        <v>333</v>
      </c>
      <c r="O1674" t="s">
        <v>536</v>
      </c>
      <c r="P1674" t="s">
        <v>537</v>
      </c>
      <c r="Q1674" t="s">
        <v>650</v>
      </c>
    </row>
    <row r="1675" spans="1:17" x14ac:dyDescent="0.25">
      <c r="A1675" t="s">
        <v>537</v>
      </c>
      <c r="B1675" t="s">
        <v>107</v>
      </c>
      <c r="C1675" s="4">
        <v>3.7992368530285793E-2</v>
      </c>
      <c r="D1675" s="4">
        <v>3.7992368530285793E-2</v>
      </c>
      <c r="E1675" s="4">
        <v>3.7992368530285793E-2</v>
      </c>
      <c r="F1675" s="4">
        <v>3.7992368530285793E-2</v>
      </c>
      <c r="G1675" s="4">
        <v>3.7992368530285793E-2</v>
      </c>
      <c r="H1675" s="4">
        <v>3.7992368530285793E-2</v>
      </c>
      <c r="I1675" s="4">
        <v>3.7992368530285793E-2</v>
      </c>
      <c r="J1675" s="4">
        <v>3.7992368530285793E-2</v>
      </c>
      <c r="K1675" s="4">
        <v>3.7992368530285793E-2</v>
      </c>
      <c r="L1675" s="4">
        <v>3.7992368530285793E-2</v>
      </c>
      <c r="M1675" s="4">
        <v>3.7992368530285793E-2</v>
      </c>
      <c r="N1675" t="s">
        <v>333</v>
      </c>
      <c r="O1675" t="s">
        <v>536</v>
      </c>
      <c r="P1675" t="s">
        <v>537</v>
      </c>
      <c r="Q1675" t="s">
        <v>650</v>
      </c>
    </row>
    <row r="1676" spans="1:17" x14ac:dyDescent="0.25">
      <c r="A1676" t="s">
        <v>537</v>
      </c>
      <c r="B1676" t="s">
        <v>108</v>
      </c>
      <c r="C1676" s="4">
        <v>3.7573142394779178E-3</v>
      </c>
      <c r="D1676" s="4">
        <v>3.7573142394779178E-3</v>
      </c>
      <c r="E1676" s="4">
        <v>3.7573142394779178E-3</v>
      </c>
      <c r="F1676" s="4">
        <v>3.7573142394779178E-3</v>
      </c>
      <c r="G1676" s="4">
        <v>3.7573142394779178E-3</v>
      </c>
      <c r="H1676" s="4">
        <v>3.7573142394779178E-3</v>
      </c>
      <c r="I1676" s="4">
        <v>3.7573142394779178E-3</v>
      </c>
      <c r="J1676" s="4">
        <v>3.7573142394779178E-3</v>
      </c>
      <c r="K1676" s="4">
        <v>3.7573142394779178E-3</v>
      </c>
      <c r="L1676" s="4">
        <v>3.7573142394779178E-3</v>
      </c>
      <c r="M1676" s="4">
        <v>3.7573142394779178E-3</v>
      </c>
      <c r="N1676" t="s">
        <v>256</v>
      </c>
      <c r="O1676" t="s">
        <v>536</v>
      </c>
      <c r="P1676" t="s">
        <v>537</v>
      </c>
      <c r="Q1676" t="s">
        <v>650</v>
      </c>
    </row>
    <row r="1677" spans="1:17" x14ac:dyDescent="0.25">
      <c r="A1677" t="s">
        <v>537</v>
      </c>
      <c r="B1677" t="s">
        <v>179</v>
      </c>
      <c r="C1677" s="4">
        <v>1.093190374185618E-3</v>
      </c>
      <c r="D1677" s="4">
        <v>1.093190374185618E-3</v>
      </c>
      <c r="E1677" s="4">
        <v>1.093190374185618E-3</v>
      </c>
      <c r="F1677" s="4">
        <v>1.093190374185618E-3</v>
      </c>
      <c r="G1677" s="4">
        <v>1.093190374185618E-3</v>
      </c>
      <c r="H1677" s="4">
        <v>1.093190374185618E-3</v>
      </c>
      <c r="I1677" s="4">
        <v>1.093190374185618E-3</v>
      </c>
      <c r="J1677" s="4">
        <v>1.093190374185618E-3</v>
      </c>
      <c r="K1677" s="4">
        <v>1.093190374185618E-3</v>
      </c>
      <c r="L1677" s="4">
        <v>1.093190374185618E-3</v>
      </c>
      <c r="M1677" s="4">
        <v>1.093190374185618E-3</v>
      </c>
      <c r="N1677" t="s">
        <v>333</v>
      </c>
      <c r="O1677" t="s">
        <v>536</v>
      </c>
      <c r="P1677" t="s">
        <v>537</v>
      </c>
      <c r="Q1677" t="s">
        <v>650</v>
      </c>
    </row>
    <row r="1678" spans="1:17" x14ac:dyDescent="0.25">
      <c r="A1678" t="s">
        <v>537</v>
      </c>
      <c r="B1678" t="s">
        <v>135</v>
      </c>
      <c r="C1678" s="4">
        <v>2.5336979564680251E-3</v>
      </c>
      <c r="D1678" s="4">
        <v>2.5336979564680251E-3</v>
      </c>
      <c r="E1678" s="4">
        <v>2.5336979564680251E-3</v>
      </c>
      <c r="F1678" s="4">
        <v>2.5336979564680251E-3</v>
      </c>
      <c r="G1678" s="4">
        <v>2.5336979564680251E-3</v>
      </c>
      <c r="H1678" s="4">
        <v>2.5336979564680251E-3</v>
      </c>
      <c r="I1678" s="4">
        <v>2.5336979564680251E-3</v>
      </c>
      <c r="J1678" s="4">
        <v>2.5336979564680251E-3</v>
      </c>
      <c r="K1678" s="4">
        <v>2.5336979564680251E-3</v>
      </c>
      <c r="L1678" s="4">
        <v>2.5336979564680251E-3</v>
      </c>
      <c r="M1678" s="4">
        <v>2.5336979564680251E-3</v>
      </c>
      <c r="N1678" t="s">
        <v>333</v>
      </c>
      <c r="O1678" t="s">
        <v>536</v>
      </c>
      <c r="P1678" t="s">
        <v>537</v>
      </c>
      <c r="Q1678" t="s">
        <v>650</v>
      </c>
    </row>
    <row r="1679" spans="1:17" x14ac:dyDescent="0.25">
      <c r="A1679" t="s">
        <v>537</v>
      </c>
      <c r="B1679" t="s">
        <v>137</v>
      </c>
      <c r="C1679" s="4">
        <v>2.9952833994164388E-3</v>
      </c>
      <c r="D1679" s="4">
        <v>2.9952833994164388E-3</v>
      </c>
      <c r="E1679" s="4">
        <v>2.9952833994164388E-3</v>
      </c>
      <c r="F1679" s="4">
        <v>2.9952833994164388E-3</v>
      </c>
      <c r="G1679" s="4">
        <v>2.9952833994164388E-3</v>
      </c>
      <c r="H1679" s="4">
        <v>2.9952833994164388E-3</v>
      </c>
      <c r="I1679" s="4">
        <v>2.9952833994164388E-3</v>
      </c>
      <c r="J1679" s="4">
        <v>2.9952833994164388E-3</v>
      </c>
      <c r="K1679" s="4">
        <v>2.9952833994164388E-3</v>
      </c>
      <c r="L1679" s="4">
        <v>2.9952833994164388E-3</v>
      </c>
      <c r="M1679" s="4">
        <v>2.9952833994164388E-3</v>
      </c>
      <c r="N1679" t="s">
        <v>320</v>
      </c>
      <c r="O1679" t="s">
        <v>443</v>
      </c>
      <c r="P1679" t="s">
        <v>537</v>
      </c>
      <c r="Q1679" t="s">
        <v>650</v>
      </c>
    </row>
    <row r="1680" spans="1:17" x14ac:dyDescent="0.25">
      <c r="A1680" t="s">
        <v>537</v>
      </c>
      <c r="B1680" t="s">
        <v>121</v>
      </c>
      <c r="C1680" s="4">
        <v>2.8766482256532859E-3</v>
      </c>
      <c r="D1680" s="4">
        <v>2.8766482256532859E-3</v>
      </c>
      <c r="E1680" s="4">
        <v>2.8766482256532859E-3</v>
      </c>
      <c r="F1680" s="4">
        <v>2.8766482256532859E-3</v>
      </c>
      <c r="G1680" s="4">
        <v>2.8766482256532859E-3</v>
      </c>
      <c r="H1680" s="4">
        <v>2.8766482256532859E-3</v>
      </c>
      <c r="I1680" s="4">
        <v>2.8766482256532859E-3</v>
      </c>
      <c r="J1680" s="4">
        <v>2.8766482256532859E-3</v>
      </c>
      <c r="K1680" s="4">
        <v>2.8766482256532859E-3</v>
      </c>
      <c r="L1680" s="4">
        <v>2.8766482256532859E-3</v>
      </c>
      <c r="M1680" s="4">
        <v>2.8766482256532859E-3</v>
      </c>
      <c r="N1680" t="s">
        <v>333</v>
      </c>
      <c r="O1680" t="s">
        <v>536</v>
      </c>
      <c r="P1680" t="s">
        <v>537</v>
      </c>
      <c r="Q1680" t="s">
        <v>650</v>
      </c>
    </row>
    <row r="1681" spans="1:17" x14ac:dyDescent="0.25">
      <c r="A1681" t="s">
        <v>537</v>
      </c>
      <c r="B1681" t="s">
        <v>138</v>
      </c>
      <c r="C1681" s="4">
        <v>2.2000638236273542E-3</v>
      </c>
      <c r="D1681" s="4">
        <v>2.2000638236273542E-3</v>
      </c>
      <c r="E1681" s="4">
        <v>2.2000638236273542E-3</v>
      </c>
      <c r="F1681" s="4">
        <v>2.2000638236273542E-3</v>
      </c>
      <c r="G1681" s="4">
        <v>2.2000638236273542E-3</v>
      </c>
      <c r="H1681" s="4">
        <v>2.2000638236273542E-3</v>
      </c>
      <c r="I1681" s="4">
        <v>2.2000638236273542E-3</v>
      </c>
      <c r="J1681" s="4">
        <v>2.2000638236273542E-3</v>
      </c>
      <c r="K1681" s="4">
        <v>2.2000638236273542E-3</v>
      </c>
      <c r="L1681" s="4">
        <v>2.2000638236273542E-3</v>
      </c>
      <c r="M1681" s="4">
        <v>2.2000638236273542E-3</v>
      </c>
      <c r="N1681" t="s">
        <v>333</v>
      </c>
      <c r="O1681" t="s">
        <v>536</v>
      </c>
      <c r="P1681" t="s">
        <v>537</v>
      </c>
      <c r="Q1681" t="s">
        <v>650</v>
      </c>
    </row>
    <row r="1682" spans="1:17" x14ac:dyDescent="0.25">
      <c r="A1682" t="s">
        <v>537</v>
      </c>
      <c r="B1682" t="s">
        <v>208</v>
      </c>
      <c r="C1682" s="4">
        <v>1.0526069552344929E-2</v>
      </c>
      <c r="D1682" s="4">
        <v>1.0526069552344929E-2</v>
      </c>
      <c r="E1682" s="4">
        <v>1.0526069552344929E-2</v>
      </c>
      <c r="F1682" s="4">
        <v>1.0526069552344929E-2</v>
      </c>
      <c r="G1682" s="4">
        <v>1.0526069552344929E-2</v>
      </c>
      <c r="H1682" s="4">
        <v>1.0526069552344929E-2</v>
      </c>
      <c r="I1682" s="4">
        <v>1.0526069552344929E-2</v>
      </c>
      <c r="J1682" s="4">
        <v>1.0526069552344929E-2</v>
      </c>
      <c r="K1682" s="4">
        <v>1.0526069552344929E-2</v>
      </c>
      <c r="L1682" s="4">
        <v>1.0526069552344929E-2</v>
      </c>
      <c r="M1682" s="4">
        <v>1.0526069552344929E-2</v>
      </c>
      <c r="N1682" t="s">
        <v>256</v>
      </c>
      <c r="O1682" t="s">
        <v>536</v>
      </c>
      <c r="P1682" t="s">
        <v>537</v>
      </c>
      <c r="Q1682" t="s">
        <v>650</v>
      </c>
    </row>
    <row r="1683" spans="1:17" x14ac:dyDescent="0.25">
      <c r="A1683" t="s">
        <v>537</v>
      </c>
      <c r="B1683" t="s">
        <v>112</v>
      </c>
      <c r="C1683" s="4">
        <v>7.485661117509374E-3</v>
      </c>
      <c r="D1683" s="4">
        <v>7.485661117509374E-3</v>
      </c>
      <c r="E1683" s="4">
        <v>7.485661117509374E-3</v>
      </c>
      <c r="F1683" s="4">
        <v>7.485661117509374E-3</v>
      </c>
      <c r="G1683" s="4">
        <v>7.485661117509374E-3</v>
      </c>
      <c r="H1683" s="4">
        <v>7.485661117509374E-3</v>
      </c>
      <c r="I1683" s="4">
        <v>7.485661117509374E-3</v>
      </c>
      <c r="J1683" s="4">
        <v>7.485661117509374E-3</v>
      </c>
      <c r="K1683" s="4">
        <v>7.485661117509374E-3</v>
      </c>
      <c r="L1683" s="4">
        <v>7.485661117509374E-3</v>
      </c>
      <c r="M1683" s="4">
        <v>7.485661117509374E-3</v>
      </c>
      <c r="N1683" t="s">
        <v>256</v>
      </c>
      <c r="O1683" t="s">
        <v>536</v>
      </c>
      <c r="P1683" t="s">
        <v>537</v>
      </c>
      <c r="Q1683" t="s">
        <v>650</v>
      </c>
    </row>
    <row r="1684" spans="1:17" x14ac:dyDescent="0.25">
      <c r="A1684" t="s">
        <v>537</v>
      </c>
      <c r="B1684" t="s">
        <v>113</v>
      </c>
      <c r="C1684" s="4">
        <v>1.6573115427766891E-2</v>
      </c>
      <c r="D1684" s="4">
        <v>1.6573115427766891E-2</v>
      </c>
      <c r="E1684" s="4">
        <v>1.6573115427766891E-2</v>
      </c>
      <c r="F1684" s="4">
        <v>1.6573115427766891E-2</v>
      </c>
      <c r="G1684" s="4">
        <v>1.6573115427766891E-2</v>
      </c>
      <c r="H1684" s="4">
        <v>1.6573115427766891E-2</v>
      </c>
      <c r="I1684" s="4">
        <v>1.6573115427766891E-2</v>
      </c>
      <c r="J1684" s="4">
        <v>1.6573115427766891E-2</v>
      </c>
      <c r="K1684" s="4">
        <v>1.6573115427766891E-2</v>
      </c>
      <c r="L1684" s="4">
        <v>1.6573115427766891E-2</v>
      </c>
      <c r="M1684" s="4">
        <v>1.6573115427766891E-2</v>
      </c>
      <c r="N1684" t="s">
        <v>256</v>
      </c>
      <c r="O1684" t="s">
        <v>536</v>
      </c>
      <c r="P1684" t="s">
        <v>537</v>
      </c>
      <c r="Q1684" t="s">
        <v>650</v>
      </c>
    </row>
    <row r="1685" spans="1:17" x14ac:dyDescent="0.25">
      <c r="A1685" t="s">
        <v>537</v>
      </c>
      <c r="B1685" t="s">
        <v>122</v>
      </c>
      <c r="C1685" s="4">
        <v>1.482182735961414E-2</v>
      </c>
      <c r="D1685" s="4">
        <v>1.482182735961414E-2</v>
      </c>
      <c r="E1685" s="4">
        <v>1.482182735961414E-2</v>
      </c>
      <c r="F1685" s="4">
        <v>1.482182735961414E-2</v>
      </c>
      <c r="G1685" s="4">
        <v>1.482182735961414E-2</v>
      </c>
      <c r="H1685" s="4">
        <v>1.482182735961414E-2</v>
      </c>
      <c r="I1685" s="4">
        <v>1.482182735961414E-2</v>
      </c>
      <c r="J1685" s="4">
        <v>1.482182735961414E-2</v>
      </c>
      <c r="K1685" s="4">
        <v>1.482182735961414E-2</v>
      </c>
      <c r="L1685" s="4">
        <v>1.482182735961414E-2</v>
      </c>
      <c r="M1685" s="4">
        <v>1.482182735961414E-2</v>
      </c>
      <c r="N1685" t="s">
        <v>333</v>
      </c>
      <c r="O1685" t="s">
        <v>536</v>
      </c>
      <c r="P1685" t="s">
        <v>537</v>
      </c>
      <c r="Q1685" t="s">
        <v>650</v>
      </c>
    </row>
    <row r="1686" spans="1:17" x14ac:dyDescent="0.25">
      <c r="A1686" t="s">
        <v>537</v>
      </c>
      <c r="B1686" t="s">
        <v>123</v>
      </c>
      <c r="C1686" s="4">
        <v>2.58988590379634E-3</v>
      </c>
      <c r="D1686" s="4">
        <v>2.58988590379634E-3</v>
      </c>
      <c r="E1686" s="4">
        <v>2.58988590379634E-3</v>
      </c>
      <c r="F1686" s="4">
        <v>2.58988590379634E-3</v>
      </c>
      <c r="G1686" s="4">
        <v>2.58988590379634E-3</v>
      </c>
      <c r="H1686" s="4">
        <v>2.58988590379634E-3</v>
      </c>
      <c r="I1686" s="4">
        <v>2.58988590379634E-3</v>
      </c>
      <c r="J1686" s="4">
        <v>2.58988590379634E-3</v>
      </c>
      <c r="K1686" s="4">
        <v>2.58988590379634E-3</v>
      </c>
      <c r="L1686" s="4">
        <v>2.58988590379634E-3</v>
      </c>
      <c r="M1686" s="4">
        <v>2.58988590379634E-3</v>
      </c>
      <c r="N1686" t="s">
        <v>256</v>
      </c>
      <c r="O1686" t="s">
        <v>536</v>
      </c>
      <c r="P1686" t="s">
        <v>537</v>
      </c>
      <c r="Q1686" t="s">
        <v>650</v>
      </c>
    </row>
    <row r="1687" spans="1:17" x14ac:dyDescent="0.25">
      <c r="A1687" t="s">
        <v>537</v>
      </c>
      <c r="B1687" t="s">
        <v>140</v>
      </c>
      <c r="C1687" s="4">
        <v>4.1036416080880954E-3</v>
      </c>
      <c r="D1687" s="4">
        <v>4.1036416080880954E-3</v>
      </c>
      <c r="E1687" s="4">
        <v>4.1036416080880954E-3</v>
      </c>
      <c r="F1687" s="4">
        <v>4.1036416080880954E-3</v>
      </c>
      <c r="G1687" s="4">
        <v>4.1036416080880954E-3</v>
      </c>
      <c r="H1687" s="4">
        <v>4.1036416080880954E-3</v>
      </c>
      <c r="I1687" s="4">
        <v>4.1036416080880954E-3</v>
      </c>
      <c r="J1687" s="4">
        <v>4.1036416080880954E-3</v>
      </c>
      <c r="K1687" s="4">
        <v>4.1036416080880954E-3</v>
      </c>
      <c r="L1687" s="4">
        <v>4.1036416080880954E-3</v>
      </c>
      <c r="M1687" s="4">
        <v>4.1036416080880954E-3</v>
      </c>
      <c r="N1687" t="s">
        <v>333</v>
      </c>
      <c r="O1687" t="s">
        <v>536</v>
      </c>
      <c r="P1687" t="s">
        <v>537</v>
      </c>
      <c r="Q1687" t="s">
        <v>650</v>
      </c>
    </row>
    <row r="1688" spans="1:17" x14ac:dyDescent="0.25">
      <c r="A1688" t="s">
        <v>537</v>
      </c>
      <c r="B1688" t="s">
        <v>114</v>
      </c>
      <c r="C1688" s="4">
        <v>2.7671836236043399E-4</v>
      </c>
      <c r="D1688" s="4">
        <v>2.7671836236043399E-4</v>
      </c>
      <c r="E1688" s="4">
        <v>2.7671836236043399E-4</v>
      </c>
      <c r="F1688" s="4">
        <v>2.7671836236043399E-4</v>
      </c>
      <c r="G1688" s="4">
        <v>2.7671836236043399E-4</v>
      </c>
      <c r="H1688" s="4">
        <v>2.7671836236043399E-4</v>
      </c>
      <c r="I1688" s="4">
        <v>2.7671836236043399E-4</v>
      </c>
      <c r="J1688" s="4">
        <v>2.7671836236043399E-4</v>
      </c>
      <c r="K1688" s="4">
        <v>2.7671836236043399E-4</v>
      </c>
      <c r="L1688" s="4">
        <v>2.7671836236043399E-4</v>
      </c>
      <c r="M1688" s="4">
        <v>2.7671836236043399E-4</v>
      </c>
      <c r="N1688" t="s">
        <v>256</v>
      </c>
      <c r="O1688" t="s">
        <v>536</v>
      </c>
      <c r="P1688" t="s">
        <v>537</v>
      </c>
      <c r="Q1688" t="s">
        <v>650</v>
      </c>
    </row>
    <row r="1689" spans="1:17" x14ac:dyDescent="0.25">
      <c r="A1689" t="s">
        <v>537</v>
      </c>
      <c r="B1689" t="s">
        <v>115</v>
      </c>
      <c r="C1689" s="4">
        <v>6.1732504099650956E-3</v>
      </c>
      <c r="D1689" s="4">
        <v>6.1732504099650956E-3</v>
      </c>
      <c r="E1689" s="4">
        <v>6.1732504099650956E-3</v>
      </c>
      <c r="F1689" s="4">
        <v>6.1732504099650956E-3</v>
      </c>
      <c r="G1689" s="4">
        <v>6.1732504099650956E-3</v>
      </c>
      <c r="H1689" s="4">
        <v>6.1732504099650956E-3</v>
      </c>
      <c r="I1689" s="4">
        <v>6.1732504099650956E-3</v>
      </c>
      <c r="J1689" s="4">
        <v>6.1732504099650956E-3</v>
      </c>
      <c r="K1689" s="4">
        <v>6.1732504099650956E-3</v>
      </c>
      <c r="L1689" s="4">
        <v>6.1732504099650956E-3</v>
      </c>
      <c r="M1689" s="4">
        <v>6.1732504099650956E-3</v>
      </c>
      <c r="N1689" t="s">
        <v>256</v>
      </c>
      <c r="O1689" t="s">
        <v>536</v>
      </c>
      <c r="P1689" t="s">
        <v>537</v>
      </c>
      <c r="Q1689" t="s">
        <v>650</v>
      </c>
    </row>
    <row r="1690" spans="1:17" x14ac:dyDescent="0.25">
      <c r="A1690" t="s">
        <v>33</v>
      </c>
      <c r="B1690" t="s">
        <v>183</v>
      </c>
      <c r="C1690" s="4">
        <v>1.4230533735279951E-3</v>
      </c>
      <c r="D1690" s="4">
        <v>1.4230533735279951E-3</v>
      </c>
      <c r="E1690" s="4">
        <v>1.4230533735279951E-3</v>
      </c>
      <c r="F1690" s="4">
        <v>1.4230533735279951E-3</v>
      </c>
      <c r="G1690" s="4">
        <v>1.4230533735279951E-3</v>
      </c>
      <c r="H1690" s="4">
        <v>1.4230533735279951E-3</v>
      </c>
      <c r="I1690" s="4">
        <v>1.4230533735279951E-3</v>
      </c>
      <c r="J1690" s="4">
        <v>1.4230533735279951E-3</v>
      </c>
      <c r="K1690" s="4">
        <v>1.4230533735279951E-3</v>
      </c>
      <c r="L1690" s="4">
        <v>1.4230533735279951E-3</v>
      </c>
      <c r="M1690" s="4">
        <v>1.4230533735279951E-3</v>
      </c>
      <c r="Q1690" t="s">
        <v>278</v>
      </c>
    </row>
    <row r="1691" spans="1:17" x14ac:dyDescent="0.25">
      <c r="A1691" t="s">
        <v>33</v>
      </c>
      <c r="B1691" t="s">
        <v>184</v>
      </c>
      <c r="C1691" s="4">
        <v>1.4539775223236851E-4</v>
      </c>
      <c r="D1691" s="4">
        <v>1.4539775223236851E-4</v>
      </c>
      <c r="E1691" s="4">
        <v>1.4539775223236851E-4</v>
      </c>
      <c r="F1691" s="4">
        <v>1.4539775223236851E-4</v>
      </c>
      <c r="G1691" s="4">
        <v>1.4539775223236851E-4</v>
      </c>
      <c r="H1691" s="4">
        <v>1.4539775223236851E-4</v>
      </c>
      <c r="I1691" s="4">
        <v>1.4539775223236851E-4</v>
      </c>
      <c r="J1691" s="4">
        <v>1.4539775223236851E-4</v>
      </c>
      <c r="K1691" s="4">
        <v>1.4539775223236851E-4</v>
      </c>
      <c r="L1691" s="4">
        <v>1.4539775223236851E-4</v>
      </c>
      <c r="M1691" s="4">
        <v>1.4539775223236851E-4</v>
      </c>
      <c r="Q1691" t="s">
        <v>278</v>
      </c>
    </row>
    <row r="1692" spans="1:17" x14ac:dyDescent="0.25">
      <c r="A1692" t="s">
        <v>33</v>
      </c>
      <c r="B1692" t="s">
        <v>124</v>
      </c>
      <c r="C1692" s="4">
        <v>2.490942681125916E-3</v>
      </c>
      <c r="D1692" s="4">
        <v>2.490942681125916E-3</v>
      </c>
      <c r="E1692" s="4">
        <v>2.490942681125916E-3</v>
      </c>
      <c r="F1692" s="4">
        <v>2.490942681125916E-3</v>
      </c>
      <c r="G1692" s="4">
        <v>2.490942681125916E-3</v>
      </c>
      <c r="H1692" s="4">
        <v>2.490942681125916E-3</v>
      </c>
      <c r="I1692" s="4">
        <v>2.490942681125916E-3</v>
      </c>
      <c r="J1692" s="4">
        <v>2.490942681125916E-3</v>
      </c>
      <c r="K1692" s="4">
        <v>2.490942681125916E-3</v>
      </c>
      <c r="L1692" s="4">
        <v>2.490942681125916E-3</v>
      </c>
      <c r="M1692" s="4">
        <v>2.490942681125916E-3</v>
      </c>
      <c r="Q1692" t="s">
        <v>278</v>
      </c>
    </row>
    <row r="1693" spans="1:17" x14ac:dyDescent="0.25">
      <c r="A1693" t="s">
        <v>33</v>
      </c>
      <c r="B1693" t="s">
        <v>83</v>
      </c>
      <c r="C1693" s="4">
        <v>3.0288304894136829E-3</v>
      </c>
      <c r="D1693" s="4">
        <v>3.0288304894136829E-3</v>
      </c>
      <c r="E1693" s="4">
        <v>3.0288304894136829E-3</v>
      </c>
      <c r="F1693" s="4">
        <v>3.0288304894136829E-3</v>
      </c>
      <c r="G1693" s="4">
        <v>3.0288304894136829E-3</v>
      </c>
      <c r="H1693" s="4">
        <v>3.0288304894136829E-3</v>
      </c>
      <c r="I1693" s="4">
        <v>3.0288304894136829E-3</v>
      </c>
      <c r="J1693" s="4">
        <v>3.0288304894136829E-3</v>
      </c>
      <c r="K1693" s="4">
        <v>3.0288304894136829E-3</v>
      </c>
      <c r="L1693" s="4">
        <v>3.0288304894136829E-3</v>
      </c>
      <c r="M1693" s="4">
        <v>3.0288304894136829E-3</v>
      </c>
      <c r="Q1693" t="s">
        <v>278</v>
      </c>
    </row>
    <row r="1694" spans="1:17" x14ac:dyDescent="0.25">
      <c r="A1694" t="s">
        <v>33</v>
      </c>
      <c r="B1694" t="s">
        <v>181</v>
      </c>
      <c r="C1694" s="4">
        <v>4.0286244958461382E-3</v>
      </c>
      <c r="D1694" s="4">
        <v>4.0286244958461382E-3</v>
      </c>
      <c r="E1694" s="4">
        <v>4.0286244958461382E-3</v>
      </c>
      <c r="F1694" s="4">
        <v>4.0286244958461382E-3</v>
      </c>
      <c r="G1694" s="4">
        <v>4.0286244958461382E-3</v>
      </c>
      <c r="H1694" s="4">
        <v>4.0286244958461382E-3</v>
      </c>
      <c r="I1694" s="4">
        <v>4.0286244958461382E-3</v>
      </c>
      <c r="J1694" s="4">
        <v>4.0286244958461382E-3</v>
      </c>
      <c r="K1694" s="4">
        <v>4.0286244958461382E-3</v>
      </c>
      <c r="L1694" s="4">
        <v>4.0286244958461382E-3</v>
      </c>
      <c r="M1694" s="4">
        <v>4.0286244958461382E-3</v>
      </c>
      <c r="Q1694" t="s">
        <v>278</v>
      </c>
    </row>
    <row r="1695" spans="1:17" x14ac:dyDescent="0.25">
      <c r="A1695" t="s">
        <v>33</v>
      </c>
      <c r="B1695" t="s">
        <v>125</v>
      </c>
      <c r="C1695" s="4">
        <v>1.8048342340967681E-4</v>
      </c>
      <c r="D1695" s="4">
        <v>1.8048342340967681E-4</v>
      </c>
      <c r="E1695" s="4">
        <v>1.8048342340967681E-4</v>
      </c>
      <c r="F1695" s="4">
        <v>1.8048342340967681E-4</v>
      </c>
      <c r="G1695" s="4">
        <v>1.8048342340967681E-4</v>
      </c>
      <c r="H1695" s="4">
        <v>1.8048342340967681E-4</v>
      </c>
      <c r="I1695" s="4">
        <v>1.8048342340967681E-4</v>
      </c>
      <c r="J1695" s="4">
        <v>1.8048342340967681E-4</v>
      </c>
      <c r="K1695" s="4">
        <v>1.8048342340967681E-4</v>
      </c>
      <c r="L1695" s="4">
        <v>1.8048342340967681E-4</v>
      </c>
      <c r="M1695" s="4">
        <v>1.8048342340967681E-4</v>
      </c>
      <c r="Q1695" t="s">
        <v>278</v>
      </c>
    </row>
    <row r="1696" spans="1:17" x14ac:dyDescent="0.25">
      <c r="A1696" t="s">
        <v>33</v>
      </c>
      <c r="B1696" t="s">
        <v>220</v>
      </c>
      <c r="C1696" s="4">
        <v>1.3750638688516351E-3</v>
      </c>
      <c r="D1696" s="4">
        <v>1.3750638688516351E-3</v>
      </c>
      <c r="E1696" s="4">
        <v>1.3750638688516351E-3</v>
      </c>
      <c r="F1696" s="4">
        <v>1.3750638688516351E-3</v>
      </c>
      <c r="G1696" s="4">
        <v>1.3750638688516351E-3</v>
      </c>
      <c r="H1696" s="4">
        <v>1.3750638688516351E-3</v>
      </c>
      <c r="I1696" s="4">
        <v>1.3750638688516351E-3</v>
      </c>
      <c r="J1696" s="4">
        <v>1.3750638688516351E-3</v>
      </c>
      <c r="K1696" s="4">
        <v>1.3750638688516351E-3</v>
      </c>
      <c r="L1696" s="4">
        <v>1.3750638688516351E-3</v>
      </c>
      <c r="M1696" s="4">
        <v>1.3750638688516351E-3</v>
      </c>
      <c r="Q1696" t="s">
        <v>278</v>
      </c>
    </row>
    <row r="1697" spans="1:17" x14ac:dyDescent="0.25">
      <c r="A1697" t="s">
        <v>33</v>
      </c>
      <c r="B1697" t="s">
        <v>163</v>
      </c>
      <c r="C1697" s="4">
        <v>3.9726463612366767E-3</v>
      </c>
      <c r="D1697" s="4">
        <v>3.9726463612366767E-3</v>
      </c>
      <c r="E1697" s="4">
        <v>3.9726463612366767E-3</v>
      </c>
      <c r="F1697" s="4">
        <v>3.9726463612366767E-3</v>
      </c>
      <c r="G1697" s="4">
        <v>3.9726463612366767E-3</v>
      </c>
      <c r="H1697" s="4">
        <v>3.9726463612366767E-3</v>
      </c>
      <c r="I1697" s="4">
        <v>3.9726463612366767E-3</v>
      </c>
      <c r="J1697" s="4">
        <v>3.9726463612366767E-3</v>
      </c>
      <c r="K1697" s="4">
        <v>3.9726463612366767E-3</v>
      </c>
      <c r="L1697" s="4">
        <v>3.9726463612366767E-3</v>
      </c>
      <c r="M1697" s="4">
        <v>3.9726463612366767E-3</v>
      </c>
      <c r="Q1697" t="s">
        <v>278</v>
      </c>
    </row>
    <row r="1698" spans="1:17" x14ac:dyDescent="0.25">
      <c r="A1698" t="s">
        <v>33</v>
      </c>
      <c r="B1698" t="s">
        <v>84</v>
      </c>
      <c r="C1698" s="4">
        <v>4.0446475451537162E-4</v>
      </c>
      <c r="D1698" s="4">
        <v>4.0446475451537162E-4</v>
      </c>
      <c r="E1698" s="4">
        <v>4.0446475451537162E-4</v>
      </c>
      <c r="F1698" s="4">
        <v>4.0446475451537162E-4</v>
      </c>
      <c r="G1698" s="4">
        <v>4.0446475451537162E-4</v>
      </c>
      <c r="H1698" s="4">
        <v>4.0446475451537162E-4</v>
      </c>
      <c r="I1698" s="4">
        <v>4.0446475451537162E-4</v>
      </c>
      <c r="J1698" s="4">
        <v>4.0446475451537162E-4</v>
      </c>
      <c r="K1698" s="4">
        <v>4.0446475451537162E-4</v>
      </c>
      <c r="L1698" s="4">
        <v>4.0446475451537162E-4</v>
      </c>
      <c r="M1698" s="4">
        <v>4.0446475451537162E-4</v>
      </c>
      <c r="Q1698" t="s">
        <v>278</v>
      </c>
    </row>
    <row r="1699" spans="1:17" x14ac:dyDescent="0.25">
      <c r="A1699" t="s">
        <v>33</v>
      </c>
      <c r="B1699" t="s">
        <v>85</v>
      </c>
      <c r="C1699" s="4">
        <v>1.8468596097811849E-2</v>
      </c>
      <c r="D1699" s="4">
        <v>1.8468596097811849E-2</v>
      </c>
      <c r="E1699" s="4">
        <v>1.8468596097811849E-2</v>
      </c>
      <c r="F1699" s="4">
        <v>1.8468596097811849E-2</v>
      </c>
      <c r="G1699" s="4">
        <v>1.8468596097811849E-2</v>
      </c>
      <c r="H1699" s="4">
        <v>1.8468596097811849E-2</v>
      </c>
      <c r="I1699" s="4">
        <v>1.8468596097811849E-2</v>
      </c>
      <c r="J1699" s="4">
        <v>1.8468596097811849E-2</v>
      </c>
      <c r="K1699" s="4">
        <v>1.8468596097811849E-2</v>
      </c>
      <c r="L1699" s="4">
        <v>1.8468596097811849E-2</v>
      </c>
      <c r="M1699" s="4">
        <v>1.8468596097811849E-2</v>
      </c>
      <c r="Q1699" t="s">
        <v>278</v>
      </c>
    </row>
    <row r="1700" spans="1:17" x14ac:dyDescent="0.25">
      <c r="A1700" t="s">
        <v>33</v>
      </c>
      <c r="B1700" t="s">
        <v>147</v>
      </c>
      <c r="C1700" s="4">
        <v>3.1637031804769919E-4</v>
      </c>
      <c r="D1700" s="4">
        <v>3.1637031804769919E-4</v>
      </c>
      <c r="E1700" s="4">
        <v>3.1637031804769919E-4</v>
      </c>
      <c r="F1700" s="4">
        <v>3.1637031804769919E-4</v>
      </c>
      <c r="G1700" s="4">
        <v>3.1637031804769919E-4</v>
      </c>
      <c r="H1700" s="4">
        <v>3.1637031804769919E-4</v>
      </c>
      <c r="I1700" s="4">
        <v>3.1637031804769919E-4</v>
      </c>
      <c r="J1700" s="4">
        <v>3.1637031804769919E-4</v>
      </c>
      <c r="K1700" s="4">
        <v>3.1637031804769919E-4</v>
      </c>
      <c r="L1700" s="4">
        <v>3.1637031804769919E-4</v>
      </c>
      <c r="M1700" s="4">
        <v>3.1637031804769919E-4</v>
      </c>
      <c r="Q1700" t="s">
        <v>278</v>
      </c>
    </row>
    <row r="1701" spans="1:17" x14ac:dyDescent="0.25">
      <c r="A1701" t="s">
        <v>33</v>
      </c>
      <c r="B1701" t="s">
        <v>116</v>
      </c>
      <c r="C1701" s="4">
        <v>6.8788436121630294E-3</v>
      </c>
      <c r="D1701" s="4">
        <v>6.8788436121630294E-3</v>
      </c>
      <c r="E1701" s="4">
        <v>6.8788436121630294E-3</v>
      </c>
      <c r="F1701" s="4">
        <v>6.8788436121630294E-3</v>
      </c>
      <c r="G1701" s="4">
        <v>6.8788436121630294E-3</v>
      </c>
      <c r="H1701" s="4">
        <v>6.8788436121630294E-3</v>
      </c>
      <c r="I1701" s="4">
        <v>6.8788436121630294E-3</v>
      </c>
      <c r="J1701" s="4">
        <v>6.8788436121630294E-3</v>
      </c>
      <c r="K1701" s="4">
        <v>6.8788436121630294E-3</v>
      </c>
      <c r="L1701" s="4">
        <v>6.8788436121630294E-3</v>
      </c>
      <c r="M1701" s="4">
        <v>6.8788436121630294E-3</v>
      </c>
      <c r="Q1701" t="s">
        <v>278</v>
      </c>
    </row>
    <row r="1702" spans="1:17" x14ac:dyDescent="0.25">
      <c r="A1702" t="s">
        <v>33</v>
      </c>
      <c r="B1702" t="s">
        <v>145</v>
      </c>
      <c r="C1702" s="4">
        <v>6.4224574288312638E-4</v>
      </c>
      <c r="D1702" s="4">
        <v>6.4224574288312638E-4</v>
      </c>
      <c r="E1702" s="4">
        <v>6.4224574288312638E-4</v>
      </c>
      <c r="F1702" s="4">
        <v>6.4224574288312638E-4</v>
      </c>
      <c r="G1702" s="4">
        <v>6.4224574288312638E-4</v>
      </c>
      <c r="H1702" s="4">
        <v>6.4224574288312638E-4</v>
      </c>
      <c r="I1702" s="4">
        <v>6.4224574288312638E-4</v>
      </c>
      <c r="J1702" s="4">
        <v>6.4224574288312638E-4</v>
      </c>
      <c r="K1702" s="4">
        <v>6.4224574288312638E-4</v>
      </c>
      <c r="L1702" s="4">
        <v>6.4224574288312638E-4</v>
      </c>
      <c r="M1702" s="4">
        <v>6.4224574288312638E-4</v>
      </c>
      <c r="Q1702" t="s">
        <v>278</v>
      </c>
    </row>
    <row r="1703" spans="1:17" x14ac:dyDescent="0.25">
      <c r="A1703" t="s">
        <v>33</v>
      </c>
      <c r="B1703" t="s">
        <v>86</v>
      </c>
      <c r="C1703" s="4">
        <v>0.53099238499161794</v>
      </c>
      <c r="D1703" s="4">
        <v>0.53099238499161794</v>
      </c>
      <c r="E1703" s="4">
        <v>0.53099238499161794</v>
      </c>
      <c r="F1703" s="4">
        <v>0.53099238499161794</v>
      </c>
      <c r="G1703" s="4">
        <v>0.53099238499161794</v>
      </c>
      <c r="H1703" s="4">
        <v>0.53099238499161794</v>
      </c>
      <c r="I1703" s="4">
        <v>0.53099238499161794</v>
      </c>
      <c r="J1703" s="4">
        <v>0.53099238499161794</v>
      </c>
      <c r="K1703" s="4">
        <v>0.53099238499161794</v>
      </c>
      <c r="L1703" s="4">
        <v>0.53099238499161794</v>
      </c>
      <c r="M1703" s="4">
        <v>0.53099238499161794</v>
      </c>
      <c r="Q1703" t="s">
        <v>278</v>
      </c>
    </row>
    <row r="1704" spans="1:17" x14ac:dyDescent="0.25">
      <c r="A1704" t="s">
        <v>33</v>
      </c>
      <c r="B1704" t="s">
        <v>87</v>
      </c>
      <c r="C1704" s="4">
        <v>6.8006000904206703E-4</v>
      </c>
      <c r="D1704" s="4">
        <v>6.8006000904206703E-4</v>
      </c>
      <c r="E1704" s="4">
        <v>6.8006000904206703E-4</v>
      </c>
      <c r="F1704" s="4">
        <v>6.8006000904206703E-4</v>
      </c>
      <c r="G1704" s="4">
        <v>6.8006000904206703E-4</v>
      </c>
      <c r="H1704" s="4">
        <v>6.8006000904206703E-4</v>
      </c>
      <c r="I1704" s="4">
        <v>6.8006000904206703E-4</v>
      </c>
      <c r="J1704" s="4">
        <v>6.8006000904206703E-4</v>
      </c>
      <c r="K1704" s="4">
        <v>6.8006000904206703E-4</v>
      </c>
      <c r="L1704" s="4">
        <v>6.8006000904206703E-4</v>
      </c>
      <c r="M1704" s="4">
        <v>6.8006000904206703E-4</v>
      </c>
      <c r="Q1704" t="s">
        <v>278</v>
      </c>
    </row>
    <row r="1705" spans="1:17" x14ac:dyDescent="0.25">
      <c r="A1705" t="s">
        <v>33</v>
      </c>
      <c r="B1705" t="s">
        <v>159</v>
      </c>
      <c r="C1705" s="4">
        <v>1.6275867787205429E-5</v>
      </c>
      <c r="D1705" s="4">
        <v>1.6275867787205429E-5</v>
      </c>
      <c r="E1705" s="4">
        <v>1.6275867787205429E-5</v>
      </c>
      <c r="F1705" s="4">
        <v>1.6275867787205429E-5</v>
      </c>
      <c r="G1705" s="4">
        <v>1.6275867787205429E-5</v>
      </c>
      <c r="H1705" s="4">
        <v>1.6275867787205429E-5</v>
      </c>
      <c r="I1705" s="4">
        <v>1.6275867787205429E-5</v>
      </c>
      <c r="J1705" s="4">
        <v>1.6275867787205429E-5</v>
      </c>
      <c r="K1705" s="4">
        <v>1.6275867787205429E-5</v>
      </c>
      <c r="L1705" s="4">
        <v>1.6275867787205429E-5</v>
      </c>
      <c r="M1705" s="4">
        <v>1.6275867787205429E-5</v>
      </c>
      <c r="Q1705" t="s">
        <v>278</v>
      </c>
    </row>
    <row r="1706" spans="1:17" x14ac:dyDescent="0.25">
      <c r="A1706" t="s">
        <v>33</v>
      </c>
      <c r="B1706" t="s">
        <v>88</v>
      </c>
      <c r="C1706" s="4">
        <v>4.7237125561450589E-5</v>
      </c>
      <c r="D1706" s="4">
        <v>4.7237125561450589E-5</v>
      </c>
      <c r="E1706" s="4">
        <v>4.7237125561450589E-5</v>
      </c>
      <c r="F1706" s="4">
        <v>4.7237125561450589E-5</v>
      </c>
      <c r="G1706" s="4">
        <v>4.7237125561450589E-5</v>
      </c>
      <c r="H1706" s="4">
        <v>4.7237125561450589E-5</v>
      </c>
      <c r="I1706" s="4">
        <v>4.7237125561450589E-5</v>
      </c>
      <c r="J1706" s="4">
        <v>4.7237125561450589E-5</v>
      </c>
      <c r="K1706" s="4">
        <v>4.7237125561450589E-5</v>
      </c>
      <c r="L1706" s="4">
        <v>4.7237125561450589E-5</v>
      </c>
      <c r="M1706" s="4">
        <v>4.7237125561450589E-5</v>
      </c>
      <c r="Q1706" t="s">
        <v>278</v>
      </c>
    </row>
    <row r="1707" spans="1:17" x14ac:dyDescent="0.25">
      <c r="A1707" t="s">
        <v>33</v>
      </c>
      <c r="B1707" t="s">
        <v>160</v>
      </c>
      <c r="C1707" s="4">
        <v>1.1852086922642999E-4</v>
      </c>
      <c r="D1707" s="4">
        <v>1.1852086922642999E-4</v>
      </c>
      <c r="E1707" s="4">
        <v>1.1852086922642999E-4</v>
      </c>
      <c r="F1707" s="4">
        <v>1.1852086922642999E-4</v>
      </c>
      <c r="G1707" s="4">
        <v>1.1852086922642999E-4</v>
      </c>
      <c r="H1707" s="4">
        <v>1.1852086922642999E-4</v>
      </c>
      <c r="I1707" s="4">
        <v>1.1852086922642999E-4</v>
      </c>
      <c r="J1707" s="4">
        <v>1.1852086922642999E-4</v>
      </c>
      <c r="K1707" s="4">
        <v>1.1852086922642999E-4</v>
      </c>
      <c r="L1707" s="4">
        <v>1.1852086922642999E-4</v>
      </c>
      <c r="M1707" s="4">
        <v>1.1852086922642999E-4</v>
      </c>
      <c r="Q1707" t="s">
        <v>278</v>
      </c>
    </row>
    <row r="1708" spans="1:17" x14ac:dyDescent="0.25">
      <c r="A1708" t="s">
        <v>33</v>
      </c>
      <c r="B1708" t="s">
        <v>217</v>
      </c>
      <c r="C1708" s="4">
        <v>2.3566371498020991E-3</v>
      </c>
      <c r="D1708" s="4">
        <v>2.3566371498020991E-3</v>
      </c>
      <c r="E1708" s="4">
        <v>2.3566371498020991E-3</v>
      </c>
      <c r="F1708" s="4">
        <v>2.3566371498020991E-3</v>
      </c>
      <c r="G1708" s="4">
        <v>2.3566371498020991E-3</v>
      </c>
      <c r="H1708" s="4">
        <v>2.3566371498020991E-3</v>
      </c>
      <c r="I1708" s="4">
        <v>2.3566371498020991E-3</v>
      </c>
      <c r="J1708" s="4">
        <v>2.3566371498020991E-3</v>
      </c>
      <c r="K1708" s="4">
        <v>2.3566371498020991E-3</v>
      </c>
      <c r="L1708" s="4">
        <v>2.3566371498020991E-3</v>
      </c>
      <c r="M1708" s="4">
        <v>2.3566371498020991E-3</v>
      </c>
      <c r="Q1708" t="s">
        <v>278</v>
      </c>
    </row>
    <row r="1709" spans="1:17" x14ac:dyDescent="0.25">
      <c r="A1709" t="s">
        <v>33</v>
      </c>
      <c r="B1709" t="s">
        <v>89</v>
      </c>
      <c r="C1709" s="4">
        <v>3.2551735574410858E-5</v>
      </c>
      <c r="D1709" s="4">
        <v>3.2551735574410858E-5</v>
      </c>
      <c r="E1709" s="4">
        <v>3.2551735574410858E-5</v>
      </c>
      <c r="F1709" s="4">
        <v>3.2551735574410858E-5</v>
      </c>
      <c r="G1709" s="4">
        <v>3.2551735574410858E-5</v>
      </c>
      <c r="H1709" s="4">
        <v>3.2551735574410858E-5</v>
      </c>
      <c r="I1709" s="4">
        <v>3.2551735574410858E-5</v>
      </c>
      <c r="J1709" s="4">
        <v>3.2551735574410858E-5</v>
      </c>
      <c r="K1709" s="4">
        <v>3.2551735574410858E-5</v>
      </c>
      <c r="L1709" s="4">
        <v>3.2551735574410858E-5</v>
      </c>
      <c r="M1709" s="4">
        <v>3.2551735574410858E-5</v>
      </c>
      <c r="Q1709" t="s">
        <v>278</v>
      </c>
    </row>
    <row r="1710" spans="1:17" x14ac:dyDescent="0.25">
      <c r="A1710" t="s">
        <v>33</v>
      </c>
      <c r="B1710" t="s">
        <v>167</v>
      </c>
      <c r="C1710" s="4">
        <v>3.0869895903066298E-4</v>
      </c>
      <c r="D1710" s="4">
        <v>3.0869895903066298E-4</v>
      </c>
      <c r="E1710" s="4">
        <v>3.0869895903066298E-4</v>
      </c>
      <c r="F1710" s="4">
        <v>3.0869895903066298E-4</v>
      </c>
      <c r="G1710" s="4">
        <v>3.0869895903066298E-4</v>
      </c>
      <c r="H1710" s="4">
        <v>3.0869895903066298E-4</v>
      </c>
      <c r="I1710" s="4">
        <v>3.0869895903066298E-4</v>
      </c>
      <c r="J1710" s="4">
        <v>3.0869895903066298E-4</v>
      </c>
      <c r="K1710" s="4">
        <v>3.0869895903066298E-4</v>
      </c>
      <c r="L1710" s="4">
        <v>3.0869895903066298E-4</v>
      </c>
      <c r="M1710" s="4">
        <v>3.0869895903066298E-4</v>
      </c>
      <c r="Q1710" t="s">
        <v>278</v>
      </c>
    </row>
    <row r="1711" spans="1:17" x14ac:dyDescent="0.25">
      <c r="A1711" t="s">
        <v>33</v>
      </c>
      <c r="B1711" t="s">
        <v>128</v>
      </c>
      <c r="C1711" s="4">
        <v>4.3897208985730794E-3</v>
      </c>
      <c r="D1711" s="4">
        <v>4.3897208985730794E-3</v>
      </c>
      <c r="E1711" s="4">
        <v>4.3897208985730794E-3</v>
      </c>
      <c r="F1711" s="4">
        <v>4.3897208985730794E-3</v>
      </c>
      <c r="G1711" s="4">
        <v>4.3897208985730794E-3</v>
      </c>
      <c r="H1711" s="4">
        <v>4.3897208985730794E-3</v>
      </c>
      <c r="I1711" s="4">
        <v>4.3897208985730794E-3</v>
      </c>
      <c r="J1711" s="4">
        <v>4.3897208985730794E-3</v>
      </c>
      <c r="K1711" s="4">
        <v>4.3897208985730794E-3</v>
      </c>
      <c r="L1711" s="4">
        <v>4.3897208985730794E-3</v>
      </c>
      <c r="M1711" s="4">
        <v>4.3897208985730794E-3</v>
      </c>
      <c r="Q1711" t="s">
        <v>278</v>
      </c>
    </row>
    <row r="1712" spans="1:17" x14ac:dyDescent="0.25">
      <c r="A1712" t="s">
        <v>33</v>
      </c>
      <c r="B1712" t="s">
        <v>221</v>
      </c>
      <c r="C1712" s="4">
        <v>5.2299788489553457E-5</v>
      </c>
      <c r="D1712" s="4">
        <v>5.2299788489553457E-5</v>
      </c>
      <c r="E1712" s="4">
        <v>5.2299788489553457E-5</v>
      </c>
      <c r="F1712" s="4">
        <v>5.2299788489553457E-5</v>
      </c>
      <c r="G1712" s="4">
        <v>5.2299788489553457E-5</v>
      </c>
      <c r="H1712" s="4">
        <v>5.2299788489553457E-5</v>
      </c>
      <c r="I1712" s="4">
        <v>5.2299788489553457E-5</v>
      </c>
      <c r="J1712" s="4">
        <v>5.2299788489553457E-5</v>
      </c>
      <c r="K1712" s="4">
        <v>5.2299788489553457E-5</v>
      </c>
      <c r="L1712" s="4">
        <v>5.2299788489553457E-5</v>
      </c>
      <c r="M1712" s="4">
        <v>5.2299788489553457E-5</v>
      </c>
      <c r="Q1712" t="s">
        <v>278</v>
      </c>
    </row>
    <row r="1713" spans="1:17" x14ac:dyDescent="0.25">
      <c r="A1713" t="s">
        <v>33</v>
      </c>
      <c r="B1713" t="s">
        <v>154</v>
      </c>
      <c r="C1713" s="4">
        <v>2.107034130614215E-3</v>
      </c>
      <c r="D1713" s="4">
        <v>2.107034130614215E-3</v>
      </c>
      <c r="E1713" s="4">
        <v>2.107034130614215E-3</v>
      </c>
      <c r="F1713" s="4">
        <v>2.107034130614215E-3</v>
      </c>
      <c r="G1713" s="4">
        <v>2.107034130614215E-3</v>
      </c>
      <c r="H1713" s="4">
        <v>2.107034130614215E-3</v>
      </c>
      <c r="I1713" s="4">
        <v>2.107034130614215E-3</v>
      </c>
      <c r="J1713" s="4">
        <v>2.107034130614215E-3</v>
      </c>
      <c r="K1713" s="4">
        <v>2.107034130614215E-3</v>
      </c>
      <c r="L1713" s="4">
        <v>2.107034130614215E-3</v>
      </c>
      <c r="M1713" s="4">
        <v>2.107034130614215E-3</v>
      </c>
      <c r="Q1713" t="s">
        <v>278</v>
      </c>
    </row>
    <row r="1714" spans="1:17" x14ac:dyDescent="0.25">
      <c r="A1714" t="s">
        <v>33</v>
      </c>
      <c r="B1714" t="s">
        <v>91</v>
      </c>
      <c r="C1714" s="4">
        <v>7.6913335215251163E-3</v>
      </c>
      <c r="D1714" s="4">
        <v>7.6913335215251163E-3</v>
      </c>
      <c r="E1714" s="4">
        <v>7.6913335215251163E-3</v>
      </c>
      <c r="F1714" s="4">
        <v>7.6913335215251163E-3</v>
      </c>
      <c r="G1714" s="4">
        <v>7.6913335215251163E-3</v>
      </c>
      <c r="H1714" s="4">
        <v>7.6913335215251163E-3</v>
      </c>
      <c r="I1714" s="4">
        <v>7.6913335215251163E-3</v>
      </c>
      <c r="J1714" s="4">
        <v>7.6913335215251163E-3</v>
      </c>
      <c r="K1714" s="4">
        <v>7.6913335215251163E-3</v>
      </c>
      <c r="L1714" s="4">
        <v>7.6913335215251163E-3</v>
      </c>
      <c r="M1714" s="4">
        <v>7.6913335215251163E-3</v>
      </c>
      <c r="Q1714" t="s">
        <v>278</v>
      </c>
    </row>
    <row r="1715" spans="1:17" x14ac:dyDescent="0.25">
      <c r="A1715" t="s">
        <v>33</v>
      </c>
      <c r="B1715" t="s">
        <v>117</v>
      </c>
      <c r="C1715" s="4">
        <v>2.1815847664614418E-2</v>
      </c>
      <c r="D1715" s="4">
        <v>2.1815847664614418E-2</v>
      </c>
      <c r="E1715" s="4">
        <v>2.1815847664614418E-2</v>
      </c>
      <c r="F1715" s="4">
        <v>2.1815847664614418E-2</v>
      </c>
      <c r="G1715" s="4">
        <v>2.1815847664614418E-2</v>
      </c>
      <c r="H1715" s="4">
        <v>2.1815847664614418E-2</v>
      </c>
      <c r="I1715" s="4">
        <v>2.1815847664614418E-2</v>
      </c>
      <c r="J1715" s="4">
        <v>2.1815847664614418E-2</v>
      </c>
      <c r="K1715" s="4">
        <v>2.1815847664614418E-2</v>
      </c>
      <c r="L1715" s="4">
        <v>2.1815847664614418E-2</v>
      </c>
      <c r="M1715" s="4">
        <v>2.1815847664614418E-2</v>
      </c>
      <c r="Q1715" t="s">
        <v>278</v>
      </c>
    </row>
    <row r="1716" spans="1:17" x14ac:dyDescent="0.25">
      <c r="A1716" t="s">
        <v>33</v>
      </c>
      <c r="B1716" t="s">
        <v>92</v>
      </c>
      <c r="C1716" s="4">
        <v>1.3563223156004531E-4</v>
      </c>
      <c r="D1716" s="4">
        <v>1.3563223156004531E-4</v>
      </c>
      <c r="E1716" s="4">
        <v>1.3563223156004531E-4</v>
      </c>
      <c r="F1716" s="4">
        <v>1.3563223156004531E-4</v>
      </c>
      <c r="G1716" s="4">
        <v>1.3563223156004531E-4</v>
      </c>
      <c r="H1716" s="4">
        <v>1.3563223156004531E-4</v>
      </c>
      <c r="I1716" s="4">
        <v>1.3563223156004531E-4</v>
      </c>
      <c r="J1716" s="4">
        <v>1.3563223156004531E-4</v>
      </c>
      <c r="K1716" s="4">
        <v>1.3563223156004531E-4</v>
      </c>
      <c r="L1716" s="4">
        <v>1.3563223156004531E-4</v>
      </c>
      <c r="M1716" s="4">
        <v>1.3563223156004531E-4</v>
      </c>
      <c r="Q1716" t="s">
        <v>278</v>
      </c>
    </row>
    <row r="1717" spans="1:17" x14ac:dyDescent="0.25">
      <c r="A1717" t="s">
        <v>33</v>
      </c>
      <c r="B1717" t="s">
        <v>93</v>
      </c>
      <c r="C1717" s="4">
        <v>7.6843797112659251E-4</v>
      </c>
      <c r="D1717" s="4">
        <v>7.6843797112659251E-4</v>
      </c>
      <c r="E1717" s="4">
        <v>7.6843797112659251E-4</v>
      </c>
      <c r="F1717" s="4">
        <v>7.6843797112659251E-4</v>
      </c>
      <c r="G1717" s="4">
        <v>7.6843797112659251E-4</v>
      </c>
      <c r="H1717" s="4">
        <v>7.6843797112659251E-4</v>
      </c>
      <c r="I1717" s="4">
        <v>7.6843797112659251E-4</v>
      </c>
      <c r="J1717" s="4">
        <v>7.6843797112659251E-4</v>
      </c>
      <c r="K1717" s="4">
        <v>7.6843797112659251E-4</v>
      </c>
      <c r="L1717" s="4">
        <v>7.6843797112659251E-4</v>
      </c>
      <c r="M1717" s="4">
        <v>7.6843797112659251E-4</v>
      </c>
      <c r="Q1717" t="s">
        <v>278</v>
      </c>
    </row>
    <row r="1718" spans="1:17" x14ac:dyDescent="0.25">
      <c r="A1718" t="s">
        <v>33</v>
      </c>
      <c r="B1718" t="s">
        <v>196</v>
      </c>
      <c r="C1718" s="4">
        <v>1.5719233108883011E-4</v>
      </c>
      <c r="D1718" s="4">
        <v>1.5719233108883011E-4</v>
      </c>
      <c r="E1718" s="4">
        <v>1.5719233108883011E-4</v>
      </c>
      <c r="F1718" s="4">
        <v>1.5719233108883011E-4</v>
      </c>
      <c r="G1718" s="4">
        <v>1.5719233108883011E-4</v>
      </c>
      <c r="H1718" s="4">
        <v>1.5719233108883011E-4</v>
      </c>
      <c r="I1718" s="4">
        <v>1.5719233108883011E-4</v>
      </c>
      <c r="J1718" s="4">
        <v>1.5719233108883011E-4</v>
      </c>
      <c r="K1718" s="4">
        <v>1.5719233108883011E-4</v>
      </c>
      <c r="L1718" s="4">
        <v>1.5719233108883011E-4</v>
      </c>
      <c r="M1718" s="4">
        <v>1.5719233108883011E-4</v>
      </c>
      <c r="Q1718" t="s">
        <v>278</v>
      </c>
    </row>
    <row r="1719" spans="1:17" x14ac:dyDescent="0.25">
      <c r="A1719" t="s">
        <v>33</v>
      </c>
      <c r="B1719" t="s">
        <v>96</v>
      </c>
      <c r="C1719" s="4">
        <v>8.9742964862945802E-4</v>
      </c>
      <c r="D1719" s="4">
        <v>8.9742964862945802E-4</v>
      </c>
      <c r="E1719" s="4">
        <v>8.9742964862945802E-4</v>
      </c>
      <c r="F1719" s="4">
        <v>8.9742964862945802E-4</v>
      </c>
      <c r="G1719" s="4">
        <v>8.9742964862945802E-4</v>
      </c>
      <c r="H1719" s="4">
        <v>8.9742964862945802E-4</v>
      </c>
      <c r="I1719" s="4">
        <v>8.9742964862945802E-4</v>
      </c>
      <c r="J1719" s="4">
        <v>8.9742964862945802E-4</v>
      </c>
      <c r="K1719" s="4">
        <v>8.9742964862945802E-4</v>
      </c>
      <c r="L1719" s="4">
        <v>8.9742964862945802E-4</v>
      </c>
      <c r="M1719" s="4">
        <v>8.9742964862945802E-4</v>
      </c>
      <c r="Q1719" t="s">
        <v>278</v>
      </c>
    </row>
    <row r="1720" spans="1:17" x14ac:dyDescent="0.25">
      <c r="A1720" t="s">
        <v>33</v>
      </c>
      <c r="B1720" t="s">
        <v>97</v>
      </c>
      <c r="C1720" s="4">
        <v>5.8087053051542721E-2</v>
      </c>
      <c r="D1720" s="4">
        <v>5.8087053051542721E-2</v>
      </c>
      <c r="E1720" s="4">
        <v>5.8087053051542721E-2</v>
      </c>
      <c r="F1720" s="4">
        <v>5.8087053051542721E-2</v>
      </c>
      <c r="G1720" s="4">
        <v>5.8087053051542721E-2</v>
      </c>
      <c r="H1720" s="4">
        <v>5.8087053051542721E-2</v>
      </c>
      <c r="I1720" s="4">
        <v>5.8087053051542721E-2</v>
      </c>
      <c r="J1720" s="4">
        <v>5.8087053051542721E-2</v>
      </c>
      <c r="K1720" s="4">
        <v>5.8087053051542721E-2</v>
      </c>
      <c r="L1720" s="4">
        <v>5.8087053051542721E-2</v>
      </c>
      <c r="M1720" s="4">
        <v>5.8087053051542721E-2</v>
      </c>
      <c r="Q1720" t="s">
        <v>278</v>
      </c>
    </row>
    <row r="1721" spans="1:17" x14ac:dyDescent="0.25">
      <c r="A1721" t="s">
        <v>33</v>
      </c>
      <c r="B1721" t="s">
        <v>98</v>
      </c>
      <c r="C1721" s="4">
        <v>5.1121741179115526E-3</v>
      </c>
      <c r="D1721" s="4">
        <v>5.1121741179115526E-3</v>
      </c>
      <c r="E1721" s="4">
        <v>5.1121741179115526E-3</v>
      </c>
      <c r="F1721" s="4">
        <v>5.1121741179115526E-3</v>
      </c>
      <c r="G1721" s="4">
        <v>5.1121741179115526E-3</v>
      </c>
      <c r="H1721" s="4">
        <v>5.1121741179115526E-3</v>
      </c>
      <c r="I1721" s="4">
        <v>5.1121741179115526E-3</v>
      </c>
      <c r="J1721" s="4">
        <v>5.1121741179115526E-3</v>
      </c>
      <c r="K1721" s="4">
        <v>5.1121741179115526E-3</v>
      </c>
      <c r="L1721" s="4">
        <v>5.1121741179115526E-3</v>
      </c>
      <c r="M1721" s="4">
        <v>5.1121741179115526E-3</v>
      </c>
      <c r="Q1721" t="s">
        <v>278</v>
      </c>
    </row>
    <row r="1722" spans="1:17" x14ac:dyDescent="0.25">
      <c r="A1722" t="s">
        <v>33</v>
      </c>
      <c r="B1722" t="s">
        <v>99</v>
      </c>
      <c r="C1722" s="4">
        <v>1.111145399300935E-2</v>
      </c>
      <c r="D1722" s="4">
        <v>1.111145399300935E-2</v>
      </c>
      <c r="E1722" s="4">
        <v>1.111145399300935E-2</v>
      </c>
      <c r="F1722" s="4">
        <v>1.111145399300935E-2</v>
      </c>
      <c r="G1722" s="4">
        <v>1.111145399300935E-2</v>
      </c>
      <c r="H1722" s="4">
        <v>1.111145399300935E-2</v>
      </c>
      <c r="I1722" s="4">
        <v>1.111145399300935E-2</v>
      </c>
      <c r="J1722" s="4">
        <v>1.111145399300935E-2</v>
      </c>
      <c r="K1722" s="4">
        <v>1.111145399300935E-2</v>
      </c>
      <c r="L1722" s="4">
        <v>1.111145399300935E-2</v>
      </c>
      <c r="M1722" s="4">
        <v>1.111145399300935E-2</v>
      </c>
      <c r="Q1722" t="s">
        <v>278</v>
      </c>
    </row>
    <row r="1723" spans="1:17" x14ac:dyDescent="0.25">
      <c r="A1723" t="s">
        <v>33</v>
      </c>
      <c r="B1723" t="s">
        <v>222</v>
      </c>
      <c r="C1723" s="4">
        <v>1.6275867787205429E-4</v>
      </c>
      <c r="D1723" s="4">
        <v>1.6275867787205429E-4</v>
      </c>
      <c r="E1723" s="4">
        <v>1.6275867787205429E-4</v>
      </c>
      <c r="F1723" s="4">
        <v>1.6275867787205429E-4</v>
      </c>
      <c r="G1723" s="4">
        <v>1.6275867787205429E-4</v>
      </c>
      <c r="H1723" s="4">
        <v>1.6275867787205429E-4</v>
      </c>
      <c r="I1723" s="4">
        <v>1.6275867787205429E-4</v>
      </c>
      <c r="J1723" s="4">
        <v>1.6275867787205429E-4</v>
      </c>
      <c r="K1723" s="4">
        <v>1.6275867787205429E-4</v>
      </c>
      <c r="L1723" s="4">
        <v>1.6275867787205429E-4</v>
      </c>
      <c r="M1723" s="4">
        <v>1.6275867787205429E-4</v>
      </c>
      <c r="Q1723" t="s">
        <v>278</v>
      </c>
    </row>
    <row r="1724" spans="1:17" x14ac:dyDescent="0.25">
      <c r="A1724" t="s">
        <v>33</v>
      </c>
      <c r="B1724" t="s">
        <v>182</v>
      </c>
      <c r="C1724" s="4">
        <v>1.26392963946175E-2</v>
      </c>
      <c r="D1724" s="4">
        <v>1.26392963946175E-2</v>
      </c>
      <c r="E1724" s="4">
        <v>1.26392963946175E-2</v>
      </c>
      <c r="F1724" s="4">
        <v>1.26392963946175E-2</v>
      </c>
      <c r="G1724" s="4">
        <v>1.26392963946175E-2</v>
      </c>
      <c r="H1724" s="4">
        <v>1.26392963946175E-2</v>
      </c>
      <c r="I1724" s="4">
        <v>1.26392963946175E-2</v>
      </c>
      <c r="J1724" s="4">
        <v>1.26392963946175E-2</v>
      </c>
      <c r="K1724" s="4">
        <v>1.26392963946175E-2</v>
      </c>
      <c r="L1724" s="4">
        <v>1.26392963946175E-2</v>
      </c>
      <c r="M1724" s="4">
        <v>1.26392963946175E-2</v>
      </c>
      <c r="Q1724" t="s">
        <v>278</v>
      </c>
    </row>
    <row r="1725" spans="1:17" x14ac:dyDescent="0.25">
      <c r="A1725" t="s">
        <v>33</v>
      </c>
      <c r="B1725" t="s">
        <v>119</v>
      </c>
      <c r="C1725" s="4">
        <v>5.2894759238356077E-2</v>
      </c>
      <c r="D1725" s="4">
        <v>5.2894759238356077E-2</v>
      </c>
      <c r="E1725" s="4">
        <v>5.2894759238356077E-2</v>
      </c>
      <c r="F1725" s="4">
        <v>5.2894759238356077E-2</v>
      </c>
      <c r="G1725" s="4">
        <v>5.2894759238356077E-2</v>
      </c>
      <c r="H1725" s="4">
        <v>5.2894759238356077E-2</v>
      </c>
      <c r="I1725" s="4">
        <v>5.2894759238356077E-2</v>
      </c>
      <c r="J1725" s="4">
        <v>5.2894759238356077E-2</v>
      </c>
      <c r="K1725" s="4">
        <v>5.2894759238356077E-2</v>
      </c>
      <c r="L1725" s="4">
        <v>5.2894759238356077E-2</v>
      </c>
      <c r="M1725" s="4">
        <v>5.2894759238356077E-2</v>
      </c>
      <c r="Q1725" t="s">
        <v>278</v>
      </c>
    </row>
    <row r="1726" spans="1:17" x14ac:dyDescent="0.25">
      <c r="A1726" t="s">
        <v>33</v>
      </c>
      <c r="B1726" t="s">
        <v>223</v>
      </c>
      <c r="C1726" s="4">
        <v>1.877150084791027E-4</v>
      </c>
      <c r="D1726" s="4">
        <v>1.877150084791027E-4</v>
      </c>
      <c r="E1726" s="4">
        <v>1.877150084791027E-4</v>
      </c>
      <c r="F1726" s="4">
        <v>1.877150084791027E-4</v>
      </c>
      <c r="G1726" s="4">
        <v>1.877150084791027E-4</v>
      </c>
      <c r="H1726" s="4">
        <v>1.877150084791027E-4</v>
      </c>
      <c r="I1726" s="4">
        <v>1.877150084791027E-4</v>
      </c>
      <c r="J1726" s="4">
        <v>1.877150084791027E-4</v>
      </c>
      <c r="K1726" s="4">
        <v>1.877150084791027E-4</v>
      </c>
      <c r="L1726" s="4">
        <v>1.877150084791027E-4</v>
      </c>
      <c r="M1726" s="4">
        <v>1.877150084791027E-4</v>
      </c>
      <c r="Q1726" t="s">
        <v>278</v>
      </c>
    </row>
    <row r="1727" spans="1:17" x14ac:dyDescent="0.25">
      <c r="A1727" t="s">
        <v>33</v>
      </c>
      <c r="B1727" t="s">
        <v>102</v>
      </c>
      <c r="C1727" s="4">
        <v>2.3143269464314061E-3</v>
      </c>
      <c r="D1727" s="4">
        <v>2.3143269464314061E-3</v>
      </c>
      <c r="E1727" s="4">
        <v>2.3143269464314061E-3</v>
      </c>
      <c r="F1727" s="4">
        <v>2.3143269464314061E-3</v>
      </c>
      <c r="G1727" s="4">
        <v>2.3143269464314061E-3</v>
      </c>
      <c r="H1727" s="4">
        <v>2.3143269464314061E-3</v>
      </c>
      <c r="I1727" s="4">
        <v>2.3143269464314061E-3</v>
      </c>
      <c r="J1727" s="4">
        <v>2.3143269464314061E-3</v>
      </c>
      <c r="K1727" s="4">
        <v>2.3143269464314061E-3</v>
      </c>
      <c r="L1727" s="4">
        <v>2.3143269464314061E-3</v>
      </c>
      <c r="M1727" s="4">
        <v>2.3143269464314061E-3</v>
      </c>
      <c r="Q1727" t="s">
        <v>278</v>
      </c>
    </row>
    <row r="1728" spans="1:17" x14ac:dyDescent="0.25">
      <c r="A1728" t="s">
        <v>33</v>
      </c>
      <c r="B1728" t="s">
        <v>198</v>
      </c>
      <c r="C1728" s="4">
        <v>2.164690415698323E-4</v>
      </c>
      <c r="D1728" s="4">
        <v>2.164690415698323E-4</v>
      </c>
      <c r="E1728" s="4">
        <v>2.164690415698323E-4</v>
      </c>
      <c r="F1728" s="4">
        <v>2.164690415698323E-4</v>
      </c>
      <c r="G1728" s="4">
        <v>2.164690415698323E-4</v>
      </c>
      <c r="H1728" s="4">
        <v>2.164690415698323E-4</v>
      </c>
      <c r="I1728" s="4">
        <v>2.164690415698323E-4</v>
      </c>
      <c r="J1728" s="4">
        <v>2.164690415698323E-4</v>
      </c>
      <c r="K1728" s="4">
        <v>2.164690415698323E-4</v>
      </c>
      <c r="L1728" s="4">
        <v>2.164690415698323E-4</v>
      </c>
      <c r="M1728" s="4">
        <v>2.164690415698323E-4</v>
      </c>
      <c r="Q1728" t="s">
        <v>278</v>
      </c>
    </row>
    <row r="1729" spans="1:17" x14ac:dyDescent="0.25">
      <c r="A1729" t="s">
        <v>33</v>
      </c>
      <c r="B1729" t="s">
        <v>148</v>
      </c>
      <c r="C1729" s="4">
        <v>3.8243406539596597E-2</v>
      </c>
      <c r="D1729" s="4">
        <v>3.8243406539596597E-2</v>
      </c>
      <c r="E1729" s="4">
        <v>3.8243406539596597E-2</v>
      </c>
      <c r="F1729" s="4">
        <v>3.8243406539596597E-2</v>
      </c>
      <c r="G1729" s="4">
        <v>3.8243406539596597E-2</v>
      </c>
      <c r="H1729" s="4">
        <v>3.8243406539596597E-2</v>
      </c>
      <c r="I1729" s="4">
        <v>3.8243406539596597E-2</v>
      </c>
      <c r="J1729" s="4">
        <v>3.8243406539596597E-2</v>
      </c>
      <c r="K1729" s="4">
        <v>3.8243406539596597E-2</v>
      </c>
      <c r="L1729" s="4">
        <v>3.8243406539596597E-2</v>
      </c>
      <c r="M1729" s="4">
        <v>3.8243406539596597E-2</v>
      </c>
      <c r="Q1729" t="s">
        <v>278</v>
      </c>
    </row>
    <row r="1730" spans="1:17" x14ac:dyDescent="0.25">
      <c r="A1730" t="s">
        <v>33</v>
      </c>
      <c r="B1730" t="s">
        <v>149</v>
      </c>
      <c r="C1730" s="4">
        <v>4.448737195169485E-4</v>
      </c>
      <c r="D1730" s="4">
        <v>4.448737195169485E-4</v>
      </c>
      <c r="E1730" s="4">
        <v>4.448737195169485E-4</v>
      </c>
      <c r="F1730" s="4">
        <v>4.448737195169485E-4</v>
      </c>
      <c r="G1730" s="4">
        <v>4.448737195169485E-4</v>
      </c>
      <c r="H1730" s="4">
        <v>4.448737195169485E-4</v>
      </c>
      <c r="I1730" s="4">
        <v>4.448737195169485E-4</v>
      </c>
      <c r="J1730" s="4">
        <v>4.448737195169485E-4</v>
      </c>
      <c r="K1730" s="4">
        <v>4.448737195169485E-4</v>
      </c>
      <c r="L1730" s="4">
        <v>4.448737195169485E-4</v>
      </c>
      <c r="M1730" s="4">
        <v>4.448737195169485E-4</v>
      </c>
      <c r="O1730" s="34"/>
      <c r="Q1730" t="s">
        <v>278</v>
      </c>
    </row>
    <row r="1731" spans="1:17" x14ac:dyDescent="0.25">
      <c r="A1731" t="s">
        <v>33</v>
      </c>
      <c r="B1731" t="s">
        <v>224</v>
      </c>
      <c r="C1731" s="4">
        <v>5.6097490973234729E-4</v>
      </c>
      <c r="D1731" s="4">
        <v>5.6097490973234729E-4</v>
      </c>
      <c r="E1731" s="4">
        <v>5.6097490973234729E-4</v>
      </c>
      <c r="F1731" s="4">
        <v>5.6097490973234729E-4</v>
      </c>
      <c r="G1731" s="4">
        <v>5.6097490973234729E-4</v>
      </c>
      <c r="H1731" s="4">
        <v>5.6097490973234729E-4</v>
      </c>
      <c r="I1731" s="4">
        <v>5.6097490973234729E-4</v>
      </c>
      <c r="J1731" s="4">
        <v>5.6097490973234729E-4</v>
      </c>
      <c r="K1731" s="4">
        <v>5.6097490973234729E-4</v>
      </c>
      <c r="L1731" s="4">
        <v>5.6097490973234729E-4</v>
      </c>
      <c r="M1731" s="4">
        <v>5.6097490973234729E-4</v>
      </c>
      <c r="Q1731" t="s">
        <v>278</v>
      </c>
    </row>
    <row r="1732" spans="1:17" x14ac:dyDescent="0.25">
      <c r="A1732" t="s">
        <v>33</v>
      </c>
      <c r="B1732" t="s">
        <v>218</v>
      </c>
      <c r="C1732" s="4">
        <v>2.8363618424828642E-4</v>
      </c>
      <c r="D1732" s="4">
        <v>2.8363618424828642E-4</v>
      </c>
      <c r="E1732" s="4">
        <v>2.8363618424828642E-4</v>
      </c>
      <c r="F1732" s="4">
        <v>2.8363618424828642E-4</v>
      </c>
      <c r="G1732" s="4">
        <v>2.8363618424828642E-4</v>
      </c>
      <c r="H1732" s="4">
        <v>2.8363618424828642E-4</v>
      </c>
      <c r="I1732" s="4">
        <v>2.8363618424828642E-4</v>
      </c>
      <c r="J1732" s="4">
        <v>2.8363618424828642E-4</v>
      </c>
      <c r="K1732" s="4">
        <v>2.8363618424828642E-4</v>
      </c>
      <c r="L1732" s="4">
        <v>2.8363618424828642E-4</v>
      </c>
      <c r="M1732" s="4">
        <v>2.8363618424828642E-4</v>
      </c>
      <c r="O1732" s="34"/>
      <c r="Q1732" t="s">
        <v>278</v>
      </c>
    </row>
    <row r="1733" spans="1:17" x14ac:dyDescent="0.25">
      <c r="A1733" t="s">
        <v>33</v>
      </c>
      <c r="B1733" t="s">
        <v>225</v>
      </c>
      <c r="C1733" s="4">
        <v>1.1369236178289241E-3</v>
      </c>
      <c r="D1733" s="4">
        <v>1.1369236178289241E-3</v>
      </c>
      <c r="E1733" s="4">
        <v>1.1369236178289241E-3</v>
      </c>
      <c r="F1733" s="4">
        <v>1.1369236178289241E-3</v>
      </c>
      <c r="G1733" s="4">
        <v>1.1369236178289241E-3</v>
      </c>
      <c r="H1733" s="4">
        <v>1.1369236178289241E-3</v>
      </c>
      <c r="I1733" s="4">
        <v>1.1369236178289241E-3</v>
      </c>
      <c r="J1733" s="4">
        <v>1.1369236178289241E-3</v>
      </c>
      <c r="K1733" s="4">
        <v>1.1369236178289241E-3</v>
      </c>
      <c r="L1733" s="4">
        <v>1.1369236178289241E-3</v>
      </c>
      <c r="M1733" s="4">
        <v>1.1369236178289241E-3</v>
      </c>
      <c r="Q1733" t="s">
        <v>278</v>
      </c>
    </row>
    <row r="1734" spans="1:17" x14ac:dyDescent="0.25">
      <c r="A1734" t="s">
        <v>33</v>
      </c>
      <c r="B1734" t="s">
        <v>103</v>
      </c>
      <c r="C1734" s="4">
        <v>3.0758739321484659E-3</v>
      </c>
      <c r="D1734" s="4">
        <v>3.0758739321484659E-3</v>
      </c>
      <c r="E1734" s="4">
        <v>3.0758739321484659E-3</v>
      </c>
      <c r="F1734" s="4">
        <v>3.0758739321484659E-3</v>
      </c>
      <c r="G1734" s="4">
        <v>3.0758739321484659E-3</v>
      </c>
      <c r="H1734" s="4">
        <v>3.0758739321484659E-3</v>
      </c>
      <c r="I1734" s="4">
        <v>3.0758739321484659E-3</v>
      </c>
      <c r="J1734" s="4">
        <v>3.0758739321484659E-3</v>
      </c>
      <c r="K1734" s="4">
        <v>3.0758739321484659E-3</v>
      </c>
      <c r="L1734" s="4">
        <v>3.0758739321484659E-3</v>
      </c>
      <c r="M1734" s="4">
        <v>3.0758739321484659E-3</v>
      </c>
      <c r="Q1734" t="s">
        <v>278</v>
      </c>
    </row>
    <row r="1735" spans="1:17" x14ac:dyDescent="0.25">
      <c r="A1735" t="s">
        <v>33</v>
      </c>
      <c r="B1735" t="s">
        <v>172</v>
      </c>
      <c r="C1735" s="4">
        <v>2.7126446312009059E-6</v>
      </c>
      <c r="D1735" s="4">
        <v>2.7126446312009059E-6</v>
      </c>
      <c r="E1735" s="4">
        <v>2.7126446312009059E-6</v>
      </c>
      <c r="F1735" s="4">
        <v>2.7126446312009059E-6</v>
      </c>
      <c r="G1735" s="4">
        <v>2.7126446312009059E-6</v>
      </c>
      <c r="H1735" s="4">
        <v>2.7126446312009059E-6</v>
      </c>
      <c r="I1735" s="4">
        <v>2.7126446312009059E-6</v>
      </c>
      <c r="J1735" s="4">
        <v>2.7126446312009059E-6</v>
      </c>
      <c r="K1735" s="4">
        <v>2.7126446312009059E-6</v>
      </c>
      <c r="L1735" s="4">
        <v>2.7126446312009059E-6</v>
      </c>
      <c r="M1735" s="4">
        <v>2.7126446312009059E-6</v>
      </c>
      <c r="Q1735" t="s">
        <v>278</v>
      </c>
    </row>
    <row r="1736" spans="1:17" x14ac:dyDescent="0.25">
      <c r="A1736" t="s">
        <v>33</v>
      </c>
      <c r="B1736" t="s">
        <v>150</v>
      </c>
      <c r="C1736" s="4">
        <v>1.02411015290654E-2</v>
      </c>
      <c r="D1736" s="4">
        <v>1.02411015290654E-2</v>
      </c>
      <c r="E1736" s="4">
        <v>1.02411015290654E-2</v>
      </c>
      <c r="F1736" s="4">
        <v>1.02411015290654E-2</v>
      </c>
      <c r="G1736" s="4">
        <v>1.02411015290654E-2</v>
      </c>
      <c r="H1736" s="4">
        <v>1.02411015290654E-2</v>
      </c>
      <c r="I1736" s="4">
        <v>1.02411015290654E-2</v>
      </c>
      <c r="J1736" s="4">
        <v>1.02411015290654E-2</v>
      </c>
      <c r="K1736" s="4">
        <v>1.02411015290654E-2</v>
      </c>
      <c r="L1736" s="4">
        <v>1.02411015290654E-2</v>
      </c>
      <c r="M1736" s="4">
        <v>1.02411015290654E-2</v>
      </c>
      <c r="Q1736" t="s">
        <v>278</v>
      </c>
    </row>
    <row r="1737" spans="1:17" x14ac:dyDescent="0.25">
      <c r="A1737" t="s">
        <v>33</v>
      </c>
      <c r="B1737" t="s">
        <v>226</v>
      </c>
      <c r="C1737" s="4">
        <v>2.5968689583412511E-4</v>
      </c>
      <c r="D1737" s="4">
        <v>2.5968689583412511E-4</v>
      </c>
      <c r="E1737" s="4">
        <v>2.5968689583412511E-4</v>
      </c>
      <c r="F1737" s="4">
        <v>2.5968689583412511E-4</v>
      </c>
      <c r="G1737" s="4">
        <v>2.5968689583412511E-4</v>
      </c>
      <c r="H1737" s="4">
        <v>2.5968689583412511E-4</v>
      </c>
      <c r="I1737" s="4">
        <v>2.5968689583412511E-4</v>
      </c>
      <c r="J1737" s="4">
        <v>2.5968689583412511E-4</v>
      </c>
      <c r="K1737" s="4">
        <v>2.5968689583412511E-4</v>
      </c>
      <c r="L1737" s="4">
        <v>2.5968689583412511E-4</v>
      </c>
      <c r="M1737" s="4">
        <v>2.5968689583412511E-4</v>
      </c>
      <c r="Q1737" t="s">
        <v>278</v>
      </c>
    </row>
    <row r="1738" spans="1:17" x14ac:dyDescent="0.25">
      <c r="A1738" t="s">
        <v>33</v>
      </c>
      <c r="B1738" t="s">
        <v>173</v>
      </c>
      <c r="C1738" s="4">
        <v>2.7126446312009059E-5</v>
      </c>
      <c r="D1738" s="4">
        <v>2.7126446312009059E-5</v>
      </c>
      <c r="E1738" s="4">
        <v>2.7126446312009059E-5</v>
      </c>
      <c r="F1738" s="4">
        <v>2.7126446312009059E-5</v>
      </c>
      <c r="G1738" s="4">
        <v>2.7126446312009059E-5</v>
      </c>
      <c r="H1738" s="4">
        <v>2.7126446312009059E-5</v>
      </c>
      <c r="I1738" s="4">
        <v>2.7126446312009059E-5</v>
      </c>
      <c r="J1738" s="4">
        <v>2.7126446312009059E-5</v>
      </c>
      <c r="K1738" s="4">
        <v>2.7126446312009059E-5</v>
      </c>
      <c r="L1738" s="4">
        <v>2.7126446312009059E-5</v>
      </c>
      <c r="M1738" s="4">
        <v>2.7126446312009059E-5</v>
      </c>
      <c r="Q1738" t="s">
        <v>278</v>
      </c>
    </row>
    <row r="1739" spans="1:17" x14ac:dyDescent="0.25">
      <c r="A1739" t="s">
        <v>33</v>
      </c>
      <c r="B1739" t="s">
        <v>104</v>
      </c>
      <c r="C1739" s="4">
        <v>1.094367648854644E-5</v>
      </c>
      <c r="D1739" s="4">
        <v>1.094367648854644E-5</v>
      </c>
      <c r="E1739" s="4">
        <v>1.094367648854644E-5</v>
      </c>
      <c r="F1739" s="4">
        <v>1.094367648854644E-5</v>
      </c>
      <c r="G1739" s="4">
        <v>1.094367648854644E-5</v>
      </c>
      <c r="H1739" s="4">
        <v>1.094367648854644E-5</v>
      </c>
      <c r="I1739" s="4">
        <v>1.094367648854644E-5</v>
      </c>
      <c r="J1739" s="4">
        <v>1.094367648854644E-5</v>
      </c>
      <c r="K1739" s="4">
        <v>1.094367648854644E-5</v>
      </c>
      <c r="L1739" s="4">
        <v>1.094367648854644E-5</v>
      </c>
      <c r="M1739" s="4">
        <v>1.094367648854644E-5</v>
      </c>
      <c r="Q1739" t="s">
        <v>278</v>
      </c>
    </row>
    <row r="1740" spans="1:17" x14ac:dyDescent="0.25">
      <c r="A1740" t="s">
        <v>33</v>
      </c>
      <c r="B1740" t="s">
        <v>161</v>
      </c>
      <c r="C1740" s="4">
        <v>2.5932882674280661E-4</v>
      </c>
      <c r="D1740" s="4">
        <v>2.5932882674280661E-4</v>
      </c>
      <c r="E1740" s="4">
        <v>2.5932882674280661E-4</v>
      </c>
      <c r="F1740" s="4">
        <v>2.5932882674280661E-4</v>
      </c>
      <c r="G1740" s="4">
        <v>2.5932882674280661E-4</v>
      </c>
      <c r="H1740" s="4">
        <v>2.5932882674280661E-4</v>
      </c>
      <c r="I1740" s="4">
        <v>2.5932882674280661E-4</v>
      </c>
      <c r="J1740" s="4">
        <v>2.5932882674280661E-4</v>
      </c>
      <c r="K1740" s="4">
        <v>2.5932882674280661E-4</v>
      </c>
      <c r="L1740" s="4">
        <v>2.5932882674280661E-4</v>
      </c>
      <c r="M1740" s="4">
        <v>2.5932882674280661E-4</v>
      </c>
      <c r="Q1740" t="s">
        <v>278</v>
      </c>
    </row>
    <row r="1741" spans="1:17" x14ac:dyDescent="0.25">
      <c r="A1741" t="s">
        <v>33</v>
      </c>
      <c r="B1741" t="s">
        <v>174</v>
      </c>
      <c r="C1741" s="4">
        <v>1.7903454565925981E-4</v>
      </c>
      <c r="D1741" s="4">
        <v>1.7903454565925981E-4</v>
      </c>
      <c r="E1741" s="4">
        <v>1.7903454565925981E-4</v>
      </c>
      <c r="F1741" s="4">
        <v>1.7903454565925981E-4</v>
      </c>
      <c r="G1741" s="4">
        <v>1.7903454565925981E-4</v>
      </c>
      <c r="H1741" s="4">
        <v>1.7903454565925981E-4</v>
      </c>
      <c r="I1741" s="4">
        <v>1.7903454565925981E-4</v>
      </c>
      <c r="J1741" s="4">
        <v>1.7903454565925981E-4</v>
      </c>
      <c r="K1741" s="4">
        <v>1.7903454565925981E-4</v>
      </c>
      <c r="L1741" s="4">
        <v>1.7903454565925981E-4</v>
      </c>
      <c r="M1741" s="4">
        <v>1.7903454565925981E-4</v>
      </c>
      <c r="Q1741" t="s">
        <v>278</v>
      </c>
    </row>
    <row r="1742" spans="1:17" x14ac:dyDescent="0.25">
      <c r="A1742" t="s">
        <v>33</v>
      </c>
      <c r="B1742" t="s">
        <v>130</v>
      </c>
      <c r="C1742" s="4">
        <v>3.5725855310271672E-3</v>
      </c>
      <c r="D1742" s="4">
        <v>3.5725855310271672E-3</v>
      </c>
      <c r="E1742" s="4">
        <v>3.5725855310271672E-3</v>
      </c>
      <c r="F1742" s="4">
        <v>3.5725855310271672E-3</v>
      </c>
      <c r="G1742" s="4">
        <v>3.5725855310271672E-3</v>
      </c>
      <c r="H1742" s="4">
        <v>3.5725855310271672E-3</v>
      </c>
      <c r="I1742" s="4">
        <v>3.5725855310271672E-3</v>
      </c>
      <c r="J1742" s="4">
        <v>3.5725855310271672E-3</v>
      </c>
      <c r="K1742" s="4">
        <v>3.5725855310271672E-3</v>
      </c>
      <c r="L1742" s="4">
        <v>3.5725855310271672E-3</v>
      </c>
      <c r="M1742" s="4">
        <v>3.5725855310271672E-3</v>
      </c>
      <c r="Q1742" t="s">
        <v>278</v>
      </c>
    </row>
    <row r="1743" spans="1:17" x14ac:dyDescent="0.25">
      <c r="A1743" t="s">
        <v>33</v>
      </c>
      <c r="B1743" t="s">
        <v>131</v>
      </c>
      <c r="C1743" s="4">
        <v>3.480648579186506E-4</v>
      </c>
      <c r="D1743" s="4">
        <v>3.480648579186506E-4</v>
      </c>
      <c r="E1743" s="4">
        <v>3.480648579186506E-4</v>
      </c>
      <c r="F1743" s="4">
        <v>3.480648579186506E-4</v>
      </c>
      <c r="G1743" s="4">
        <v>3.480648579186506E-4</v>
      </c>
      <c r="H1743" s="4">
        <v>3.480648579186506E-4</v>
      </c>
      <c r="I1743" s="4">
        <v>3.480648579186506E-4</v>
      </c>
      <c r="J1743" s="4">
        <v>3.480648579186506E-4</v>
      </c>
      <c r="K1743" s="4">
        <v>3.480648579186506E-4</v>
      </c>
      <c r="L1743" s="4">
        <v>3.480648579186506E-4</v>
      </c>
      <c r="M1743" s="4">
        <v>3.480648579186506E-4</v>
      </c>
      <c r="Q1743" t="s">
        <v>278</v>
      </c>
    </row>
    <row r="1744" spans="1:17" x14ac:dyDescent="0.25">
      <c r="A1744" t="s">
        <v>33</v>
      </c>
      <c r="B1744" t="s">
        <v>203</v>
      </c>
      <c r="C1744" s="4">
        <v>3.4721851279371591E-4</v>
      </c>
      <c r="D1744" s="4">
        <v>3.4721851279371591E-4</v>
      </c>
      <c r="E1744" s="4">
        <v>3.4721851279371591E-4</v>
      </c>
      <c r="F1744" s="4">
        <v>3.4721851279371591E-4</v>
      </c>
      <c r="G1744" s="4">
        <v>3.4721851279371591E-4</v>
      </c>
      <c r="H1744" s="4">
        <v>3.4721851279371591E-4</v>
      </c>
      <c r="I1744" s="4">
        <v>3.4721851279371591E-4</v>
      </c>
      <c r="J1744" s="4">
        <v>3.4721851279371591E-4</v>
      </c>
      <c r="K1744" s="4">
        <v>3.4721851279371591E-4</v>
      </c>
      <c r="L1744" s="4">
        <v>3.4721851279371591E-4</v>
      </c>
      <c r="M1744" s="4">
        <v>3.4721851279371591E-4</v>
      </c>
      <c r="Q1744" t="s">
        <v>278</v>
      </c>
    </row>
    <row r="1745" spans="1:17" x14ac:dyDescent="0.25">
      <c r="A1745" t="s">
        <v>33</v>
      </c>
      <c r="B1745" t="s">
        <v>176</v>
      </c>
      <c r="C1745" s="4">
        <v>1.422966568899797E-4</v>
      </c>
      <c r="D1745" s="4">
        <v>1.422966568899797E-4</v>
      </c>
      <c r="E1745" s="4">
        <v>1.422966568899797E-4</v>
      </c>
      <c r="F1745" s="4">
        <v>1.422966568899797E-4</v>
      </c>
      <c r="G1745" s="4">
        <v>1.422966568899797E-4</v>
      </c>
      <c r="H1745" s="4">
        <v>1.422966568899797E-4</v>
      </c>
      <c r="I1745" s="4">
        <v>1.422966568899797E-4</v>
      </c>
      <c r="J1745" s="4">
        <v>1.422966568899797E-4</v>
      </c>
      <c r="K1745" s="4">
        <v>1.422966568899797E-4</v>
      </c>
      <c r="L1745" s="4">
        <v>1.422966568899797E-4</v>
      </c>
      <c r="M1745" s="4">
        <v>1.422966568899797E-4</v>
      </c>
      <c r="Q1745" t="s">
        <v>278</v>
      </c>
    </row>
    <row r="1746" spans="1:17" x14ac:dyDescent="0.25">
      <c r="A1746" t="s">
        <v>33</v>
      </c>
      <c r="B1746" t="s">
        <v>132</v>
      </c>
      <c r="C1746" s="4">
        <v>3.3037841492322071E-4</v>
      </c>
      <c r="D1746" s="4">
        <v>3.3037841492322071E-4</v>
      </c>
      <c r="E1746" s="4">
        <v>3.3037841492322071E-4</v>
      </c>
      <c r="F1746" s="4">
        <v>3.3037841492322071E-4</v>
      </c>
      <c r="G1746" s="4">
        <v>3.3037841492322071E-4</v>
      </c>
      <c r="H1746" s="4">
        <v>3.3037841492322071E-4</v>
      </c>
      <c r="I1746" s="4">
        <v>3.3037841492322071E-4</v>
      </c>
      <c r="J1746" s="4">
        <v>3.3037841492322071E-4</v>
      </c>
      <c r="K1746" s="4">
        <v>3.3037841492322071E-4</v>
      </c>
      <c r="L1746" s="4">
        <v>3.3037841492322071E-4</v>
      </c>
      <c r="M1746" s="4">
        <v>3.3037841492322071E-4</v>
      </c>
      <c r="Q1746" t="s">
        <v>278</v>
      </c>
    </row>
    <row r="1747" spans="1:17" x14ac:dyDescent="0.25">
      <c r="A1747" t="s">
        <v>33</v>
      </c>
      <c r="B1747" t="s">
        <v>106</v>
      </c>
      <c r="C1747" s="4">
        <v>2.3952326576148252E-3</v>
      </c>
      <c r="D1747" s="4">
        <v>2.3952326576148252E-3</v>
      </c>
      <c r="E1747" s="4">
        <v>2.3952326576148252E-3</v>
      </c>
      <c r="F1747" s="4">
        <v>2.3952326576148252E-3</v>
      </c>
      <c r="G1747" s="4">
        <v>2.3952326576148252E-3</v>
      </c>
      <c r="H1747" s="4">
        <v>2.3952326576148252E-3</v>
      </c>
      <c r="I1747" s="4">
        <v>2.3952326576148252E-3</v>
      </c>
      <c r="J1747" s="4">
        <v>2.3952326576148252E-3</v>
      </c>
      <c r="K1747" s="4">
        <v>2.3952326576148252E-3</v>
      </c>
      <c r="L1747" s="4">
        <v>2.3952326576148252E-3</v>
      </c>
      <c r="M1747" s="4">
        <v>2.3952326576148252E-3</v>
      </c>
      <c r="Q1747" t="s">
        <v>278</v>
      </c>
    </row>
    <row r="1748" spans="1:17" x14ac:dyDescent="0.25">
      <c r="A1748" t="s">
        <v>33</v>
      </c>
      <c r="B1748" t="s">
        <v>219</v>
      </c>
      <c r="C1748" s="4">
        <v>1.3584924313054129E-5</v>
      </c>
      <c r="D1748" s="4">
        <v>1.3584924313054129E-5</v>
      </c>
      <c r="E1748" s="4">
        <v>1.3584924313054129E-5</v>
      </c>
      <c r="F1748" s="4">
        <v>1.3584924313054129E-5</v>
      </c>
      <c r="G1748" s="4">
        <v>1.3584924313054129E-5</v>
      </c>
      <c r="H1748" s="4">
        <v>1.3584924313054129E-5</v>
      </c>
      <c r="I1748" s="4">
        <v>1.3584924313054129E-5</v>
      </c>
      <c r="J1748" s="4">
        <v>1.3584924313054129E-5</v>
      </c>
      <c r="K1748" s="4">
        <v>1.3584924313054129E-5</v>
      </c>
      <c r="L1748" s="4">
        <v>1.3584924313054129E-5</v>
      </c>
      <c r="M1748" s="4">
        <v>1.3584924313054129E-5</v>
      </c>
      <c r="Q1748" t="s">
        <v>278</v>
      </c>
    </row>
    <row r="1749" spans="1:17" x14ac:dyDescent="0.25">
      <c r="A1749" t="s">
        <v>33</v>
      </c>
      <c r="B1749" t="s">
        <v>146</v>
      </c>
      <c r="C1749" s="4">
        <v>6.0969400730871552E-4</v>
      </c>
      <c r="D1749" s="4">
        <v>6.0969400730871552E-4</v>
      </c>
      <c r="E1749" s="4">
        <v>6.0969400730871552E-4</v>
      </c>
      <c r="F1749" s="4">
        <v>6.0969400730871552E-4</v>
      </c>
      <c r="G1749" s="4">
        <v>6.0969400730871552E-4</v>
      </c>
      <c r="H1749" s="4">
        <v>6.0969400730871552E-4</v>
      </c>
      <c r="I1749" s="4">
        <v>6.0969400730871552E-4</v>
      </c>
      <c r="J1749" s="4">
        <v>6.0969400730871552E-4</v>
      </c>
      <c r="K1749" s="4">
        <v>6.0969400730871552E-4</v>
      </c>
      <c r="L1749" s="4">
        <v>6.0969400730871552E-4</v>
      </c>
      <c r="M1749" s="4">
        <v>6.0969400730871552E-4</v>
      </c>
      <c r="Q1749" t="s">
        <v>278</v>
      </c>
    </row>
    <row r="1750" spans="1:17" x14ac:dyDescent="0.25">
      <c r="A1750" t="s">
        <v>33</v>
      </c>
      <c r="B1750" t="s">
        <v>156</v>
      </c>
      <c r="C1750" s="4">
        <v>8.0942060621477579E-4</v>
      </c>
      <c r="D1750" s="4">
        <v>8.0942060621477579E-4</v>
      </c>
      <c r="E1750" s="4">
        <v>8.0942060621477579E-4</v>
      </c>
      <c r="F1750" s="4">
        <v>8.0942060621477579E-4</v>
      </c>
      <c r="G1750" s="4">
        <v>8.0942060621477579E-4</v>
      </c>
      <c r="H1750" s="4">
        <v>8.0942060621477579E-4</v>
      </c>
      <c r="I1750" s="4">
        <v>8.0942060621477579E-4</v>
      </c>
      <c r="J1750" s="4">
        <v>8.0942060621477579E-4</v>
      </c>
      <c r="K1750" s="4">
        <v>8.0942060621477579E-4</v>
      </c>
      <c r="L1750" s="4">
        <v>8.0942060621477579E-4</v>
      </c>
      <c r="M1750" s="4">
        <v>8.0942060621477579E-4</v>
      </c>
      <c r="Q1750" t="s">
        <v>278</v>
      </c>
    </row>
    <row r="1751" spans="1:17" x14ac:dyDescent="0.25">
      <c r="A1751" t="s">
        <v>33</v>
      </c>
      <c r="B1751" t="s">
        <v>151</v>
      </c>
      <c r="C1751" s="4">
        <v>5.0355744588157017E-3</v>
      </c>
      <c r="D1751" s="4">
        <v>5.0355744588157017E-3</v>
      </c>
      <c r="E1751" s="4">
        <v>5.0355744588157017E-3</v>
      </c>
      <c r="F1751" s="4">
        <v>5.0355744588157017E-3</v>
      </c>
      <c r="G1751" s="4">
        <v>5.0355744588157017E-3</v>
      </c>
      <c r="H1751" s="4">
        <v>5.0355744588157017E-3</v>
      </c>
      <c r="I1751" s="4">
        <v>5.0355744588157017E-3</v>
      </c>
      <c r="J1751" s="4">
        <v>5.0355744588157017E-3</v>
      </c>
      <c r="K1751" s="4">
        <v>5.0355744588157017E-3</v>
      </c>
      <c r="L1751" s="4">
        <v>5.0355744588157017E-3</v>
      </c>
      <c r="M1751" s="4">
        <v>5.0355744588157017E-3</v>
      </c>
      <c r="Q1751" t="s">
        <v>278</v>
      </c>
    </row>
    <row r="1752" spans="1:17" x14ac:dyDescent="0.25">
      <c r="A1752" t="s">
        <v>33</v>
      </c>
      <c r="B1752" t="s">
        <v>178</v>
      </c>
      <c r="C1752" s="4">
        <v>1.13711892824237E-3</v>
      </c>
      <c r="D1752" s="4">
        <v>1.13711892824237E-3</v>
      </c>
      <c r="E1752" s="4">
        <v>1.13711892824237E-3</v>
      </c>
      <c r="F1752" s="4">
        <v>1.13711892824237E-3</v>
      </c>
      <c r="G1752" s="4">
        <v>1.13711892824237E-3</v>
      </c>
      <c r="H1752" s="4">
        <v>1.13711892824237E-3</v>
      </c>
      <c r="I1752" s="4">
        <v>1.13711892824237E-3</v>
      </c>
      <c r="J1752" s="4">
        <v>1.13711892824237E-3</v>
      </c>
      <c r="K1752" s="4">
        <v>1.13711892824237E-3</v>
      </c>
      <c r="L1752" s="4">
        <v>1.13711892824237E-3</v>
      </c>
      <c r="M1752" s="4">
        <v>1.13711892824237E-3</v>
      </c>
      <c r="O1752" s="34"/>
      <c r="Q1752" t="s">
        <v>278</v>
      </c>
    </row>
    <row r="1753" spans="1:17" x14ac:dyDescent="0.25">
      <c r="A1753" t="s">
        <v>33</v>
      </c>
      <c r="B1753" t="s">
        <v>134</v>
      </c>
      <c r="C1753" s="4">
        <v>1.0848299903313411E-3</v>
      </c>
      <c r="D1753" s="4">
        <v>1.0848299903313411E-3</v>
      </c>
      <c r="E1753" s="4">
        <v>1.0848299903313411E-3</v>
      </c>
      <c r="F1753" s="4">
        <v>1.0848299903313411E-3</v>
      </c>
      <c r="G1753" s="4">
        <v>1.0848299903313411E-3</v>
      </c>
      <c r="H1753" s="4">
        <v>1.0848299903313411E-3</v>
      </c>
      <c r="I1753" s="4">
        <v>1.0848299903313411E-3</v>
      </c>
      <c r="J1753" s="4">
        <v>1.0848299903313411E-3</v>
      </c>
      <c r="K1753" s="4">
        <v>1.0848299903313411E-3</v>
      </c>
      <c r="L1753" s="4">
        <v>1.0848299903313411E-3</v>
      </c>
      <c r="M1753" s="4">
        <v>1.0848299903313411E-3</v>
      </c>
      <c r="Q1753" t="s">
        <v>278</v>
      </c>
    </row>
    <row r="1754" spans="1:17" x14ac:dyDescent="0.25">
      <c r="A1754" t="s">
        <v>33</v>
      </c>
      <c r="B1754" t="s">
        <v>120</v>
      </c>
      <c r="C1754" s="4">
        <v>1.799800325201756E-3</v>
      </c>
      <c r="D1754" s="4">
        <v>1.799800325201756E-3</v>
      </c>
      <c r="E1754" s="4">
        <v>1.799800325201756E-3</v>
      </c>
      <c r="F1754" s="4">
        <v>1.799800325201756E-3</v>
      </c>
      <c r="G1754" s="4">
        <v>1.799800325201756E-3</v>
      </c>
      <c r="H1754" s="4">
        <v>1.799800325201756E-3</v>
      </c>
      <c r="I1754" s="4">
        <v>1.799800325201756E-3</v>
      </c>
      <c r="J1754" s="4">
        <v>1.799800325201756E-3</v>
      </c>
      <c r="K1754" s="4">
        <v>1.799800325201756E-3</v>
      </c>
      <c r="L1754" s="4">
        <v>1.799800325201756E-3</v>
      </c>
      <c r="M1754" s="4">
        <v>1.799800325201756E-3</v>
      </c>
      <c r="O1754" s="34"/>
      <c r="Q1754" t="s">
        <v>278</v>
      </c>
    </row>
    <row r="1755" spans="1:17" x14ac:dyDescent="0.25">
      <c r="A1755" t="s">
        <v>33</v>
      </c>
      <c r="B1755" t="s">
        <v>107</v>
      </c>
      <c r="C1755" s="4">
        <v>4.0505513883313762E-2</v>
      </c>
      <c r="D1755" s="4">
        <v>4.0505513883313762E-2</v>
      </c>
      <c r="E1755" s="4">
        <v>4.0505513883313762E-2</v>
      </c>
      <c r="F1755" s="4">
        <v>4.0505513883313762E-2</v>
      </c>
      <c r="G1755" s="4">
        <v>4.0505513883313762E-2</v>
      </c>
      <c r="H1755" s="4">
        <v>4.0505513883313762E-2</v>
      </c>
      <c r="I1755" s="4">
        <v>4.0505513883313762E-2</v>
      </c>
      <c r="J1755" s="4">
        <v>4.0505513883313762E-2</v>
      </c>
      <c r="K1755" s="4">
        <v>4.0505513883313762E-2</v>
      </c>
      <c r="L1755" s="4">
        <v>4.0505513883313762E-2</v>
      </c>
      <c r="M1755" s="4">
        <v>4.0505513883313762E-2</v>
      </c>
      <c r="Q1755" t="s">
        <v>278</v>
      </c>
    </row>
    <row r="1756" spans="1:17" x14ac:dyDescent="0.25">
      <c r="A1756" t="s">
        <v>33</v>
      </c>
      <c r="B1756" t="s">
        <v>108</v>
      </c>
      <c r="C1756" s="4">
        <v>4.0927731160847773E-3</v>
      </c>
      <c r="D1756" s="4">
        <v>4.0927731160847773E-3</v>
      </c>
      <c r="E1756" s="4">
        <v>4.0927731160847773E-3</v>
      </c>
      <c r="F1756" s="4">
        <v>4.0927731160847773E-3</v>
      </c>
      <c r="G1756" s="4">
        <v>4.0927731160847773E-3</v>
      </c>
      <c r="H1756" s="4">
        <v>4.0927731160847773E-3</v>
      </c>
      <c r="I1756" s="4">
        <v>4.0927731160847773E-3</v>
      </c>
      <c r="J1756" s="4">
        <v>4.0927731160847773E-3</v>
      </c>
      <c r="K1756" s="4">
        <v>4.0927731160847773E-3</v>
      </c>
      <c r="L1756" s="4">
        <v>4.0927731160847773E-3</v>
      </c>
      <c r="M1756" s="4">
        <v>4.0927731160847773E-3</v>
      </c>
      <c r="Q1756" t="s">
        <v>278</v>
      </c>
    </row>
    <row r="1757" spans="1:17" x14ac:dyDescent="0.25">
      <c r="A1757" t="s">
        <v>33</v>
      </c>
      <c r="B1757" t="s">
        <v>179</v>
      </c>
      <c r="C1757" s="4">
        <v>9.2258128964995279E-4</v>
      </c>
      <c r="D1757" s="4">
        <v>9.2258128964995279E-4</v>
      </c>
      <c r="E1757" s="4">
        <v>9.2258128964995279E-4</v>
      </c>
      <c r="F1757" s="4">
        <v>9.2258128964995279E-4</v>
      </c>
      <c r="G1757" s="4">
        <v>9.2258128964995279E-4</v>
      </c>
      <c r="H1757" s="4">
        <v>9.2258128964995279E-4</v>
      </c>
      <c r="I1757" s="4">
        <v>9.2258128964995279E-4</v>
      </c>
      <c r="J1757" s="4">
        <v>9.2258128964995279E-4</v>
      </c>
      <c r="K1757" s="4">
        <v>9.2258128964995279E-4</v>
      </c>
      <c r="L1757" s="4">
        <v>9.2258128964995279E-4</v>
      </c>
      <c r="M1757" s="4">
        <v>9.2258128964995279E-4</v>
      </c>
      <c r="Q1757" t="s">
        <v>278</v>
      </c>
    </row>
    <row r="1758" spans="1:17" x14ac:dyDescent="0.25">
      <c r="A1758" t="s">
        <v>33</v>
      </c>
      <c r="B1758" t="s">
        <v>227</v>
      </c>
      <c r="C1758" s="4">
        <v>3.2089500929254229E-4</v>
      </c>
      <c r="D1758" s="4">
        <v>3.2089500929254229E-4</v>
      </c>
      <c r="E1758" s="4">
        <v>3.2089500929254229E-4</v>
      </c>
      <c r="F1758" s="4">
        <v>3.2089500929254229E-4</v>
      </c>
      <c r="G1758" s="4">
        <v>3.2089500929254229E-4</v>
      </c>
      <c r="H1758" s="4">
        <v>3.2089500929254229E-4</v>
      </c>
      <c r="I1758" s="4">
        <v>3.2089500929254229E-4</v>
      </c>
      <c r="J1758" s="4">
        <v>3.2089500929254229E-4</v>
      </c>
      <c r="K1758" s="4">
        <v>3.2089500929254229E-4</v>
      </c>
      <c r="L1758" s="4">
        <v>3.2089500929254229E-4</v>
      </c>
      <c r="M1758" s="4">
        <v>3.2089500929254229E-4</v>
      </c>
      <c r="Q1758" t="s">
        <v>278</v>
      </c>
    </row>
    <row r="1759" spans="1:17" x14ac:dyDescent="0.25">
      <c r="A1759" t="s">
        <v>33</v>
      </c>
      <c r="B1759" t="s">
        <v>135</v>
      </c>
      <c r="C1759" s="4">
        <v>2.4050307300227231E-3</v>
      </c>
      <c r="D1759" s="4">
        <v>2.4050307300227231E-3</v>
      </c>
      <c r="E1759" s="4">
        <v>2.4050307300227231E-3</v>
      </c>
      <c r="F1759" s="4">
        <v>2.4050307300227231E-3</v>
      </c>
      <c r="G1759" s="4">
        <v>2.4050307300227231E-3</v>
      </c>
      <c r="H1759" s="4">
        <v>2.4050307300227231E-3</v>
      </c>
      <c r="I1759" s="4">
        <v>2.4050307300227231E-3</v>
      </c>
      <c r="J1759" s="4">
        <v>2.4050307300227231E-3</v>
      </c>
      <c r="K1759" s="4">
        <v>2.4050307300227231E-3</v>
      </c>
      <c r="L1759" s="4">
        <v>2.4050307300227231E-3</v>
      </c>
      <c r="M1759" s="4">
        <v>2.4050307300227231E-3</v>
      </c>
      <c r="Q1759" t="s">
        <v>278</v>
      </c>
    </row>
    <row r="1760" spans="1:17" x14ac:dyDescent="0.25">
      <c r="A1760" t="s">
        <v>33</v>
      </c>
      <c r="B1760" t="s">
        <v>136</v>
      </c>
      <c r="C1760" s="4">
        <v>3.442346036993949E-4</v>
      </c>
      <c r="D1760" s="4">
        <v>3.442346036993949E-4</v>
      </c>
      <c r="E1760" s="4">
        <v>3.442346036993949E-4</v>
      </c>
      <c r="F1760" s="4">
        <v>3.442346036993949E-4</v>
      </c>
      <c r="G1760" s="4">
        <v>3.442346036993949E-4</v>
      </c>
      <c r="H1760" s="4">
        <v>3.442346036993949E-4</v>
      </c>
      <c r="I1760" s="4">
        <v>3.442346036993949E-4</v>
      </c>
      <c r="J1760" s="4">
        <v>3.442346036993949E-4</v>
      </c>
      <c r="K1760" s="4">
        <v>3.442346036993949E-4</v>
      </c>
      <c r="L1760" s="4">
        <v>3.442346036993949E-4</v>
      </c>
      <c r="M1760" s="4">
        <v>3.442346036993949E-4</v>
      </c>
      <c r="Q1760" t="s">
        <v>278</v>
      </c>
    </row>
    <row r="1761" spans="1:17" x14ac:dyDescent="0.25">
      <c r="A1761" t="s">
        <v>33</v>
      </c>
      <c r="B1761" t="s">
        <v>137</v>
      </c>
      <c r="C1761" s="4">
        <v>3.0030278136816998E-3</v>
      </c>
      <c r="D1761" s="4">
        <v>3.0030278136816998E-3</v>
      </c>
      <c r="E1761" s="4">
        <v>3.0030278136816998E-3</v>
      </c>
      <c r="F1761" s="4">
        <v>3.0030278136816998E-3</v>
      </c>
      <c r="G1761" s="4">
        <v>3.0030278136816998E-3</v>
      </c>
      <c r="H1761" s="4">
        <v>3.0030278136816998E-3</v>
      </c>
      <c r="I1761" s="4">
        <v>3.0030278136816998E-3</v>
      </c>
      <c r="J1761" s="4">
        <v>3.0030278136816998E-3</v>
      </c>
      <c r="K1761" s="4">
        <v>3.0030278136816998E-3</v>
      </c>
      <c r="L1761" s="4">
        <v>3.0030278136816998E-3</v>
      </c>
      <c r="M1761" s="4">
        <v>3.0030278136816998E-3</v>
      </c>
      <c r="Q1761" t="s">
        <v>278</v>
      </c>
    </row>
    <row r="1762" spans="1:17" x14ac:dyDescent="0.25">
      <c r="A1762" t="s">
        <v>33</v>
      </c>
      <c r="B1762" t="s">
        <v>121</v>
      </c>
      <c r="C1762" s="4">
        <v>7.3277103445771059E-3</v>
      </c>
      <c r="D1762" s="4">
        <v>7.3277103445771059E-3</v>
      </c>
      <c r="E1762" s="4">
        <v>7.3277103445771059E-3</v>
      </c>
      <c r="F1762" s="4">
        <v>7.3277103445771059E-3</v>
      </c>
      <c r="G1762" s="4">
        <v>7.3277103445771059E-3</v>
      </c>
      <c r="H1762" s="4">
        <v>7.3277103445771059E-3</v>
      </c>
      <c r="I1762" s="4">
        <v>7.3277103445771059E-3</v>
      </c>
      <c r="J1762" s="4">
        <v>7.3277103445771059E-3</v>
      </c>
      <c r="K1762" s="4">
        <v>7.3277103445771059E-3</v>
      </c>
      <c r="L1762" s="4">
        <v>7.3277103445771059E-3</v>
      </c>
      <c r="M1762" s="4">
        <v>7.3277103445771059E-3</v>
      </c>
      <c r="Q1762" t="s">
        <v>278</v>
      </c>
    </row>
    <row r="1763" spans="1:17" x14ac:dyDescent="0.25">
      <c r="A1763" t="s">
        <v>33</v>
      </c>
      <c r="B1763" t="s">
        <v>211</v>
      </c>
      <c r="C1763" s="4">
        <v>1.6275867787205429E-5</v>
      </c>
      <c r="D1763" s="4">
        <v>1.6275867787205429E-5</v>
      </c>
      <c r="E1763" s="4">
        <v>1.6275867787205429E-5</v>
      </c>
      <c r="F1763" s="4">
        <v>1.6275867787205429E-5</v>
      </c>
      <c r="G1763" s="4">
        <v>1.6275867787205429E-5</v>
      </c>
      <c r="H1763" s="4">
        <v>1.6275867787205429E-5</v>
      </c>
      <c r="I1763" s="4">
        <v>1.6275867787205429E-5</v>
      </c>
      <c r="J1763" s="4">
        <v>1.6275867787205429E-5</v>
      </c>
      <c r="K1763" s="4">
        <v>1.6275867787205429E-5</v>
      </c>
      <c r="L1763" s="4">
        <v>1.6275867787205429E-5</v>
      </c>
      <c r="M1763" s="4">
        <v>1.6275867787205429E-5</v>
      </c>
      <c r="Q1763" t="s">
        <v>278</v>
      </c>
    </row>
    <row r="1764" spans="1:17" x14ac:dyDescent="0.25">
      <c r="A1764" t="s">
        <v>33</v>
      </c>
      <c r="B1764" t="s">
        <v>138</v>
      </c>
      <c r="C1764" s="4">
        <v>2.5379177652159932E-3</v>
      </c>
      <c r="D1764" s="4">
        <v>2.5379177652159932E-3</v>
      </c>
      <c r="E1764" s="4">
        <v>2.5379177652159932E-3</v>
      </c>
      <c r="F1764" s="4">
        <v>2.5379177652159932E-3</v>
      </c>
      <c r="G1764" s="4">
        <v>2.5379177652159932E-3</v>
      </c>
      <c r="H1764" s="4">
        <v>2.5379177652159932E-3</v>
      </c>
      <c r="I1764" s="4">
        <v>2.5379177652159932E-3</v>
      </c>
      <c r="J1764" s="4">
        <v>2.5379177652159932E-3</v>
      </c>
      <c r="K1764" s="4">
        <v>2.5379177652159932E-3</v>
      </c>
      <c r="L1764" s="4">
        <v>2.5379177652159932E-3</v>
      </c>
      <c r="M1764" s="4">
        <v>2.5379177652159932E-3</v>
      </c>
      <c r="Q1764" t="s">
        <v>278</v>
      </c>
    </row>
    <row r="1765" spans="1:17" x14ac:dyDescent="0.25">
      <c r="A1765" t="s">
        <v>33</v>
      </c>
      <c r="B1765" t="s">
        <v>228</v>
      </c>
      <c r="C1765" s="4">
        <v>7.4128863009389611E-4</v>
      </c>
      <c r="D1765" s="4">
        <v>7.4128863009389611E-4</v>
      </c>
      <c r="E1765" s="4">
        <v>7.4128863009389611E-4</v>
      </c>
      <c r="F1765" s="4">
        <v>7.4128863009389611E-4</v>
      </c>
      <c r="G1765" s="4">
        <v>7.4128863009389611E-4</v>
      </c>
      <c r="H1765" s="4">
        <v>7.4128863009389611E-4</v>
      </c>
      <c r="I1765" s="4">
        <v>7.4128863009389611E-4</v>
      </c>
      <c r="J1765" s="4">
        <v>7.4128863009389611E-4</v>
      </c>
      <c r="K1765" s="4">
        <v>7.4128863009389611E-4</v>
      </c>
      <c r="L1765" s="4">
        <v>7.4128863009389611E-4</v>
      </c>
      <c r="M1765" s="4">
        <v>7.4128863009389611E-4</v>
      </c>
      <c r="Q1765" t="s">
        <v>278</v>
      </c>
    </row>
    <row r="1766" spans="1:17" x14ac:dyDescent="0.25">
      <c r="A1766" t="s">
        <v>33</v>
      </c>
      <c r="B1766" t="s">
        <v>229</v>
      </c>
      <c r="C1766" s="4">
        <v>2.7126446312009059E-6</v>
      </c>
      <c r="D1766" s="4">
        <v>2.7126446312009059E-6</v>
      </c>
      <c r="E1766" s="4">
        <v>2.7126446312009059E-6</v>
      </c>
      <c r="F1766" s="4">
        <v>2.7126446312009059E-6</v>
      </c>
      <c r="G1766" s="4">
        <v>2.7126446312009059E-6</v>
      </c>
      <c r="H1766" s="4">
        <v>2.7126446312009059E-6</v>
      </c>
      <c r="I1766" s="4">
        <v>2.7126446312009059E-6</v>
      </c>
      <c r="J1766" s="4">
        <v>2.7126446312009059E-6</v>
      </c>
      <c r="K1766" s="4">
        <v>2.7126446312009059E-6</v>
      </c>
      <c r="L1766" s="4">
        <v>2.7126446312009059E-6</v>
      </c>
      <c r="M1766" s="4">
        <v>2.7126446312009059E-6</v>
      </c>
      <c r="Q1766" t="s">
        <v>278</v>
      </c>
    </row>
    <row r="1767" spans="1:17" x14ac:dyDescent="0.25">
      <c r="A1767" t="s">
        <v>33</v>
      </c>
      <c r="B1767" t="s">
        <v>208</v>
      </c>
      <c r="C1767" s="4">
        <v>1.167739260839366E-2</v>
      </c>
      <c r="D1767" s="4">
        <v>1.167739260839366E-2</v>
      </c>
      <c r="E1767" s="4">
        <v>1.167739260839366E-2</v>
      </c>
      <c r="F1767" s="4">
        <v>1.167739260839366E-2</v>
      </c>
      <c r="G1767" s="4">
        <v>1.167739260839366E-2</v>
      </c>
      <c r="H1767" s="4">
        <v>1.167739260839366E-2</v>
      </c>
      <c r="I1767" s="4">
        <v>1.167739260839366E-2</v>
      </c>
      <c r="J1767" s="4">
        <v>1.167739260839366E-2</v>
      </c>
      <c r="K1767" s="4">
        <v>1.167739260839366E-2</v>
      </c>
      <c r="L1767" s="4">
        <v>1.167739260839366E-2</v>
      </c>
      <c r="M1767" s="4">
        <v>1.167739260839366E-2</v>
      </c>
      <c r="O1767" s="34"/>
      <c r="Q1767" t="s">
        <v>278</v>
      </c>
    </row>
    <row r="1768" spans="1:17" x14ac:dyDescent="0.25">
      <c r="A1768" t="s">
        <v>33</v>
      </c>
      <c r="B1768" t="s">
        <v>215</v>
      </c>
      <c r="C1768" s="4">
        <v>2.9676766288478898E-3</v>
      </c>
      <c r="D1768" s="4">
        <v>2.9676766288478898E-3</v>
      </c>
      <c r="E1768" s="4">
        <v>2.9676766288478898E-3</v>
      </c>
      <c r="F1768" s="4">
        <v>2.9676766288478898E-3</v>
      </c>
      <c r="G1768" s="4">
        <v>2.9676766288478898E-3</v>
      </c>
      <c r="H1768" s="4">
        <v>2.9676766288478898E-3</v>
      </c>
      <c r="I1768" s="4">
        <v>2.9676766288478898E-3</v>
      </c>
      <c r="J1768" s="4">
        <v>2.9676766288478898E-3</v>
      </c>
      <c r="K1768" s="4">
        <v>2.9676766288478898E-3</v>
      </c>
      <c r="L1768" s="4">
        <v>2.9676766288478898E-3</v>
      </c>
      <c r="M1768" s="4">
        <v>2.9676766288478898E-3</v>
      </c>
      <c r="Q1768" t="s">
        <v>278</v>
      </c>
    </row>
    <row r="1769" spans="1:17" x14ac:dyDescent="0.25">
      <c r="A1769" t="s">
        <v>33</v>
      </c>
      <c r="B1769" t="s">
        <v>216</v>
      </c>
      <c r="C1769" s="4">
        <v>3.9062082689293041E-5</v>
      </c>
      <c r="D1769" s="4">
        <v>3.9062082689293041E-5</v>
      </c>
      <c r="E1769" s="4">
        <v>3.9062082689293041E-5</v>
      </c>
      <c r="F1769" s="4">
        <v>3.9062082689293041E-5</v>
      </c>
      <c r="G1769" s="4">
        <v>3.9062082689293041E-5</v>
      </c>
      <c r="H1769" s="4">
        <v>3.9062082689293041E-5</v>
      </c>
      <c r="I1769" s="4">
        <v>3.9062082689293041E-5</v>
      </c>
      <c r="J1769" s="4">
        <v>3.9062082689293041E-5</v>
      </c>
      <c r="K1769" s="4">
        <v>3.9062082689293041E-5</v>
      </c>
      <c r="L1769" s="4">
        <v>3.9062082689293041E-5</v>
      </c>
      <c r="M1769" s="4">
        <v>3.9062082689293041E-5</v>
      </c>
      <c r="O1769" s="34"/>
      <c r="Q1769" t="s">
        <v>278</v>
      </c>
    </row>
    <row r="1770" spans="1:17" x14ac:dyDescent="0.25">
      <c r="A1770" t="s">
        <v>33</v>
      </c>
      <c r="B1770" t="s">
        <v>112</v>
      </c>
      <c r="C1770" s="4">
        <v>2.0046335318789441E-2</v>
      </c>
      <c r="D1770" s="4">
        <v>2.0046335318789441E-2</v>
      </c>
      <c r="E1770" s="4">
        <v>2.0046335318789441E-2</v>
      </c>
      <c r="F1770" s="4">
        <v>2.0046335318789441E-2</v>
      </c>
      <c r="G1770" s="4">
        <v>2.0046335318789441E-2</v>
      </c>
      <c r="H1770" s="4">
        <v>2.0046335318789441E-2</v>
      </c>
      <c r="I1770" s="4">
        <v>2.0046335318789441E-2</v>
      </c>
      <c r="J1770" s="4">
        <v>2.0046335318789441E-2</v>
      </c>
      <c r="K1770" s="4">
        <v>2.0046335318789441E-2</v>
      </c>
      <c r="L1770" s="4">
        <v>2.0046335318789441E-2</v>
      </c>
      <c r="M1770" s="4">
        <v>2.0046335318789441E-2</v>
      </c>
      <c r="Q1770" t="s">
        <v>278</v>
      </c>
    </row>
    <row r="1771" spans="1:17" x14ac:dyDescent="0.25">
      <c r="A1771" t="s">
        <v>33</v>
      </c>
      <c r="B1771" t="s">
        <v>113</v>
      </c>
      <c r="C1771" s="4">
        <v>4.4977026008783658E-2</v>
      </c>
      <c r="D1771" s="4">
        <v>4.4977026008783658E-2</v>
      </c>
      <c r="E1771" s="4">
        <v>4.4977026008783658E-2</v>
      </c>
      <c r="F1771" s="4">
        <v>4.4977026008783658E-2</v>
      </c>
      <c r="G1771" s="4">
        <v>4.4977026008783658E-2</v>
      </c>
      <c r="H1771" s="4">
        <v>4.4977026008783658E-2</v>
      </c>
      <c r="I1771" s="4">
        <v>4.4977026008783658E-2</v>
      </c>
      <c r="J1771" s="4">
        <v>4.4977026008783658E-2</v>
      </c>
      <c r="K1771" s="4">
        <v>4.4977026008783658E-2</v>
      </c>
      <c r="L1771" s="4">
        <v>4.4977026008783658E-2</v>
      </c>
      <c r="M1771" s="4">
        <v>4.4977026008783658E-2</v>
      </c>
      <c r="O1771" s="34"/>
      <c r="Q1771" t="s">
        <v>278</v>
      </c>
    </row>
    <row r="1772" spans="1:17" x14ac:dyDescent="0.25">
      <c r="A1772" t="s">
        <v>33</v>
      </c>
      <c r="B1772" t="s">
        <v>142</v>
      </c>
      <c r="C1772" s="4">
        <v>1.6275867787205429E-5</v>
      </c>
      <c r="D1772" s="4">
        <v>1.6275867787205429E-5</v>
      </c>
      <c r="E1772" s="4">
        <v>1.6275867787205429E-5</v>
      </c>
      <c r="F1772" s="4">
        <v>1.6275867787205429E-5</v>
      </c>
      <c r="G1772" s="4">
        <v>1.6275867787205429E-5</v>
      </c>
      <c r="H1772" s="4">
        <v>1.6275867787205429E-5</v>
      </c>
      <c r="I1772" s="4">
        <v>1.6275867787205429E-5</v>
      </c>
      <c r="J1772" s="4">
        <v>1.6275867787205429E-5</v>
      </c>
      <c r="K1772" s="4">
        <v>1.6275867787205429E-5</v>
      </c>
      <c r="L1772" s="4">
        <v>1.6275867787205429E-5</v>
      </c>
      <c r="M1772" s="4">
        <v>1.6275867787205429E-5</v>
      </c>
      <c r="Q1772" t="s">
        <v>278</v>
      </c>
    </row>
    <row r="1773" spans="1:17" x14ac:dyDescent="0.25">
      <c r="A1773" t="s">
        <v>33</v>
      </c>
      <c r="B1773" t="s">
        <v>122</v>
      </c>
      <c r="C1773" s="4">
        <v>1.1430867464310121E-2</v>
      </c>
      <c r="D1773" s="4">
        <v>1.1430867464310121E-2</v>
      </c>
      <c r="E1773" s="4">
        <v>1.1430867464310121E-2</v>
      </c>
      <c r="F1773" s="4">
        <v>1.1430867464310121E-2</v>
      </c>
      <c r="G1773" s="4">
        <v>1.1430867464310121E-2</v>
      </c>
      <c r="H1773" s="4">
        <v>1.1430867464310121E-2</v>
      </c>
      <c r="I1773" s="4">
        <v>1.1430867464310121E-2</v>
      </c>
      <c r="J1773" s="4">
        <v>1.1430867464310121E-2</v>
      </c>
      <c r="K1773" s="4">
        <v>1.1430867464310121E-2</v>
      </c>
      <c r="L1773" s="4">
        <v>1.1430867464310121E-2</v>
      </c>
      <c r="M1773" s="4">
        <v>1.1430867464310121E-2</v>
      </c>
      <c r="Q1773" t="s">
        <v>278</v>
      </c>
    </row>
    <row r="1774" spans="1:17" x14ac:dyDescent="0.25">
      <c r="A1774" t="s">
        <v>33</v>
      </c>
      <c r="B1774" t="s">
        <v>123</v>
      </c>
      <c r="C1774" s="4">
        <v>1.693276181109705E-3</v>
      </c>
      <c r="D1774" s="4">
        <v>1.693276181109705E-3</v>
      </c>
      <c r="E1774" s="4">
        <v>1.693276181109705E-3</v>
      </c>
      <c r="F1774" s="4">
        <v>1.693276181109705E-3</v>
      </c>
      <c r="G1774" s="4">
        <v>1.693276181109705E-3</v>
      </c>
      <c r="H1774" s="4">
        <v>1.693276181109705E-3</v>
      </c>
      <c r="I1774" s="4">
        <v>1.693276181109705E-3</v>
      </c>
      <c r="J1774" s="4">
        <v>1.693276181109705E-3</v>
      </c>
      <c r="K1774" s="4">
        <v>1.693276181109705E-3</v>
      </c>
      <c r="L1774" s="4">
        <v>1.693276181109705E-3</v>
      </c>
      <c r="M1774" s="4">
        <v>1.693276181109705E-3</v>
      </c>
      <c r="Q1774" t="s">
        <v>278</v>
      </c>
    </row>
    <row r="1775" spans="1:17" x14ac:dyDescent="0.25">
      <c r="A1775" t="s">
        <v>33</v>
      </c>
      <c r="B1775" t="s">
        <v>140</v>
      </c>
      <c r="C1775" s="4">
        <v>3.9370673142538459E-3</v>
      </c>
      <c r="D1775" s="4">
        <v>3.9370673142538459E-3</v>
      </c>
      <c r="E1775" s="4">
        <v>3.9370673142538459E-3</v>
      </c>
      <c r="F1775" s="4">
        <v>3.9370673142538459E-3</v>
      </c>
      <c r="G1775" s="4">
        <v>3.9370673142538459E-3</v>
      </c>
      <c r="H1775" s="4">
        <v>3.9370673142538459E-3</v>
      </c>
      <c r="I1775" s="4">
        <v>3.9370673142538459E-3</v>
      </c>
      <c r="J1775" s="4">
        <v>3.9370673142538459E-3</v>
      </c>
      <c r="K1775" s="4">
        <v>3.9370673142538459E-3</v>
      </c>
      <c r="L1775" s="4">
        <v>3.9370673142538459E-3</v>
      </c>
      <c r="M1775" s="4">
        <v>3.9370673142538459E-3</v>
      </c>
      <c r="Q1775" t="s">
        <v>278</v>
      </c>
    </row>
    <row r="1776" spans="1:17" x14ac:dyDescent="0.25">
      <c r="A1776" t="s">
        <v>33</v>
      </c>
      <c r="B1776" t="s">
        <v>210</v>
      </c>
      <c r="C1776" s="4">
        <v>3.1683689292426578E-5</v>
      </c>
      <c r="D1776" s="4">
        <v>3.1683689292426578E-5</v>
      </c>
      <c r="E1776" s="4">
        <v>3.1683689292426578E-5</v>
      </c>
      <c r="F1776" s="4">
        <v>3.1683689292426578E-5</v>
      </c>
      <c r="G1776" s="4">
        <v>3.1683689292426578E-5</v>
      </c>
      <c r="H1776" s="4">
        <v>3.1683689292426578E-5</v>
      </c>
      <c r="I1776" s="4">
        <v>3.1683689292426578E-5</v>
      </c>
      <c r="J1776" s="4">
        <v>3.1683689292426578E-5</v>
      </c>
      <c r="K1776" s="4">
        <v>3.1683689292426578E-5</v>
      </c>
      <c r="L1776" s="4">
        <v>3.1683689292426578E-5</v>
      </c>
      <c r="M1776" s="4">
        <v>3.1683689292426578E-5</v>
      </c>
      <c r="O1776" s="34"/>
      <c r="Q1776" t="s">
        <v>278</v>
      </c>
    </row>
    <row r="1777" spans="1:17" x14ac:dyDescent="0.25">
      <c r="A1777" t="s">
        <v>33</v>
      </c>
      <c r="B1777" t="s">
        <v>180</v>
      </c>
      <c r="C1777" s="4">
        <v>4.1125862724710691E-4</v>
      </c>
      <c r="D1777" s="4">
        <v>4.1125862724710691E-4</v>
      </c>
      <c r="E1777" s="4">
        <v>4.1125862724710691E-4</v>
      </c>
      <c r="F1777" s="4">
        <v>4.1125862724710691E-4</v>
      </c>
      <c r="G1777" s="4">
        <v>4.1125862724710691E-4</v>
      </c>
      <c r="H1777" s="4">
        <v>4.1125862724710691E-4</v>
      </c>
      <c r="I1777" s="4">
        <v>4.1125862724710691E-4</v>
      </c>
      <c r="J1777" s="4">
        <v>4.1125862724710691E-4</v>
      </c>
      <c r="K1777" s="4">
        <v>4.1125862724710691E-4</v>
      </c>
      <c r="L1777" s="4">
        <v>4.1125862724710691E-4</v>
      </c>
      <c r="M1777" s="4">
        <v>4.1125862724710691E-4</v>
      </c>
      <c r="Q1777" t="s">
        <v>278</v>
      </c>
    </row>
    <row r="1778" spans="1:17" x14ac:dyDescent="0.25">
      <c r="A1778" t="s">
        <v>33</v>
      </c>
      <c r="B1778" t="s">
        <v>114</v>
      </c>
      <c r="C1778" s="4">
        <v>7.4022646696210312E-5</v>
      </c>
      <c r="D1778" s="4">
        <v>7.4022646696210312E-5</v>
      </c>
      <c r="E1778" s="4">
        <v>7.4022646696210312E-5</v>
      </c>
      <c r="F1778" s="4">
        <v>7.4022646696210312E-5</v>
      </c>
      <c r="G1778" s="4">
        <v>7.4022646696210312E-5</v>
      </c>
      <c r="H1778" s="4">
        <v>7.4022646696210312E-5</v>
      </c>
      <c r="I1778" s="4">
        <v>7.4022646696210312E-5</v>
      </c>
      <c r="J1778" s="4">
        <v>7.4022646696210312E-5</v>
      </c>
      <c r="K1778" s="4">
        <v>7.4022646696210312E-5</v>
      </c>
      <c r="L1778" s="4">
        <v>7.4022646696210312E-5</v>
      </c>
      <c r="M1778" s="4">
        <v>7.4022646696210312E-5</v>
      </c>
      <c r="Q1778" t="s">
        <v>278</v>
      </c>
    </row>
    <row r="1779" spans="1:17" x14ac:dyDescent="0.25">
      <c r="A1779" t="s">
        <v>33</v>
      </c>
      <c r="B1779" t="s">
        <v>115</v>
      </c>
      <c r="C1779" s="4">
        <v>9.4760489384385499E-3</v>
      </c>
      <c r="D1779" s="4">
        <v>9.4760489384385499E-3</v>
      </c>
      <c r="E1779" s="4">
        <v>9.4760489384385499E-3</v>
      </c>
      <c r="F1779" s="4">
        <v>9.4760489384385499E-3</v>
      </c>
      <c r="G1779" s="4">
        <v>9.4760489384385499E-3</v>
      </c>
      <c r="H1779" s="4">
        <v>9.4760489384385499E-3</v>
      </c>
      <c r="I1779" s="4">
        <v>9.4760489384385499E-3</v>
      </c>
      <c r="J1779" s="4">
        <v>9.4760489384385499E-3</v>
      </c>
      <c r="K1779" s="4">
        <v>9.4760489384385499E-3</v>
      </c>
      <c r="L1779" s="4">
        <v>9.4760489384385499E-3</v>
      </c>
      <c r="M1779" s="4">
        <v>9.4760489384385499E-3</v>
      </c>
      <c r="Q1779" t="s">
        <v>278</v>
      </c>
    </row>
    <row r="1780" spans="1:17" x14ac:dyDescent="0.25">
      <c r="A1780" t="s">
        <v>33</v>
      </c>
      <c r="B1780" t="s">
        <v>158</v>
      </c>
      <c r="C1780" s="4">
        <v>1.757251192091947E-6</v>
      </c>
      <c r="D1780" s="4">
        <v>1.757251192091947E-6</v>
      </c>
      <c r="E1780" s="4">
        <v>1.757251192091947E-6</v>
      </c>
      <c r="F1780" s="4">
        <v>1.757251192091947E-6</v>
      </c>
      <c r="G1780" s="4">
        <v>1.757251192091947E-6</v>
      </c>
      <c r="H1780" s="4">
        <v>1.757251192091947E-6</v>
      </c>
      <c r="I1780" s="4">
        <v>1.757251192091947E-6</v>
      </c>
      <c r="J1780" s="4">
        <v>1.757251192091947E-6</v>
      </c>
      <c r="K1780" s="4">
        <v>1.757251192091947E-6</v>
      </c>
      <c r="L1780" s="4">
        <v>1.757251192091947E-6</v>
      </c>
      <c r="M1780" s="4">
        <v>1.757251192091947E-6</v>
      </c>
      <c r="Q1780" t="s">
        <v>278</v>
      </c>
    </row>
    <row r="1781" spans="1:17" x14ac:dyDescent="0.25">
      <c r="A1781" t="s">
        <v>34</v>
      </c>
      <c r="B1781" t="s">
        <v>153</v>
      </c>
      <c r="C1781" s="4">
        <v>1.5716783453234191E-2</v>
      </c>
      <c r="D1781" s="4">
        <v>1.5716783453234191E-2</v>
      </c>
      <c r="E1781" s="4">
        <v>1.5716783453234191E-2</v>
      </c>
      <c r="F1781" s="4">
        <v>1.5716783453234191E-2</v>
      </c>
      <c r="G1781" s="4">
        <v>1.5716783453234191E-2</v>
      </c>
      <c r="H1781" s="4">
        <v>1.5716783453234191E-2</v>
      </c>
      <c r="I1781" s="4">
        <v>1.5716783453234191E-2</v>
      </c>
      <c r="J1781" s="4">
        <v>1.5716783453234191E-2</v>
      </c>
      <c r="K1781" s="4">
        <v>1.5716783453234191E-2</v>
      </c>
      <c r="L1781" s="4">
        <v>1.5716783453234191E-2</v>
      </c>
      <c r="M1781" s="4">
        <v>1.5716783453234191E-2</v>
      </c>
      <c r="Q1781" t="s">
        <v>278</v>
      </c>
    </row>
    <row r="1782" spans="1:17" x14ac:dyDescent="0.25">
      <c r="A1782" t="s">
        <v>35</v>
      </c>
      <c r="B1782" t="s">
        <v>124</v>
      </c>
      <c r="C1782" s="4">
        <v>7.5073254605012205E-4</v>
      </c>
      <c r="D1782" s="4">
        <v>7.5073254605012205E-4</v>
      </c>
      <c r="E1782" s="4">
        <v>7.5073254605012205E-4</v>
      </c>
      <c r="F1782" s="4">
        <v>7.5073254605012205E-4</v>
      </c>
      <c r="G1782" s="4">
        <v>7.5073254605012205E-4</v>
      </c>
      <c r="H1782" s="4">
        <v>7.5073254605012205E-4</v>
      </c>
      <c r="I1782" s="4">
        <v>7.5073254605012205E-4</v>
      </c>
      <c r="J1782" s="4">
        <v>7.5073254605012205E-4</v>
      </c>
      <c r="K1782" s="4">
        <v>7.5073254605012205E-4</v>
      </c>
      <c r="L1782" s="4">
        <v>7.5073254605012205E-4</v>
      </c>
      <c r="M1782" s="4">
        <v>7.5073254605012205E-4</v>
      </c>
      <c r="Q1782" t="s">
        <v>278</v>
      </c>
    </row>
    <row r="1783" spans="1:17" x14ac:dyDescent="0.25">
      <c r="A1783" t="s">
        <v>36</v>
      </c>
      <c r="B1783" t="s">
        <v>124</v>
      </c>
      <c r="C1783" s="4">
        <v>5.8711630857681239E-3</v>
      </c>
      <c r="D1783" s="4">
        <v>5.8711630857681239E-3</v>
      </c>
      <c r="E1783" s="4">
        <v>5.8711630857681239E-3</v>
      </c>
      <c r="F1783" s="4">
        <v>5.8711630857681239E-3</v>
      </c>
      <c r="G1783" s="4">
        <v>5.8711630857681239E-3</v>
      </c>
      <c r="H1783" s="4">
        <v>5.8711630857681239E-3</v>
      </c>
      <c r="I1783" s="4">
        <v>5.8711630857681239E-3</v>
      </c>
      <c r="J1783" s="4">
        <v>5.8711630857681239E-3</v>
      </c>
      <c r="K1783" s="4">
        <v>5.8711630857681239E-3</v>
      </c>
      <c r="L1783" s="4">
        <v>5.8711630857681239E-3</v>
      </c>
      <c r="M1783" s="4">
        <v>5.8711630857681239E-3</v>
      </c>
      <c r="Q1783" t="s">
        <v>278</v>
      </c>
    </row>
    <row r="1784" spans="1:17" x14ac:dyDescent="0.25">
      <c r="A1784" t="s">
        <v>37</v>
      </c>
      <c r="B1784" t="s">
        <v>164</v>
      </c>
      <c r="C1784" s="4">
        <v>0.23748306331887639</v>
      </c>
      <c r="D1784" s="4">
        <v>0.23748306331887639</v>
      </c>
      <c r="E1784" s="4">
        <v>0.23748306331887639</v>
      </c>
      <c r="F1784" s="4">
        <v>0.23748306331887639</v>
      </c>
      <c r="G1784" s="4">
        <v>0.23748306331887639</v>
      </c>
      <c r="H1784" s="4">
        <v>0.23748306331887639</v>
      </c>
      <c r="I1784" s="4">
        <v>0.23748306331887639</v>
      </c>
      <c r="J1784" s="4">
        <v>0.23748306331887639</v>
      </c>
      <c r="K1784" s="4">
        <v>0.23748306331887639</v>
      </c>
      <c r="L1784" s="4">
        <v>0.23748306331887639</v>
      </c>
      <c r="M1784" s="4">
        <v>0.23748306331887639</v>
      </c>
      <c r="Q1784" t="s">
        <v>278</v>
      </c>
    </row>
    <row r="1785" spans="1:17" x14ac:dyDescent="0.25">
      <c r="A1785" t="s">
        <v>38</v>
      </c>
      <c r="B1785" t="s">
        <v>83</v>
      </c>
      <c r="C1785" s="4">
        <v>1</v>
      </c>
      <c r="D1785" s="4">
        <v>1</v>
      </c>
      <c r="E1785" s="4">
        <v>1</v>
      </c>
      <c r="F1785" s="4">
        <v>1</v>
      </c>
      <c r="G1785" s="4">
        <v>1</v>
      </c>
      <c r="H1785" s="4">
        <v>1</v>
      </c>
      <c r="I1785" s="4">
        <v>1</v>
      </c>
      <c r="J1785" s="4">
        <v>1</v>
      </c>
      <c r="K1785" s="4">
        <v>1</v>
      </c>
      <c r="L1785" s="4">
        <v>1</v>
      </c>
      <c r="M1785" s="4">
        <v>1</v>
      </c>
      <c r="Q1785" t="s">
        <v>278</v>
      </c>
    </row>
    <row r="1786" spans="1:17" x14ac:dyDescent="0.25">
      <c r="A1786" t="s">
        <v>39</v>
      </c>
      <c r="B1786" t="s">
        <v>83</v>
      </c>
      <c r="C1786" s="4">
        <v>1.535401684144546E-2</v>
      </c>
      <c r="D1786" s="4">
        <v>1.535401684144546E-2</v>
      </c>
      <c r="E1786" s="4">
        <v>1.535401684144546E-2</v>
      </c>
      <c r="F1786" s="4">
        <v>1.535401684144546E-2</v>
      </c>
      <c r="G1786" s="4">
        <v>1.535401684144546E-2</v>
      </c>
      <c r="H1786" s="4">
        <v>1.535401684144546E-2</v>
      </c>
      <c r="I1786" s="4">
        <v>1.535401684144546E-2</v>
      </c>
      <c r="J1786" s="4">
        <v>1.535401684144546E-2</v>
      </c>
      <c r="K1786" s="4">
        <v>1.535401684144546E-2</v>
      </c>
      <c r="L1786" s="4">
        <v>1.535401684144546E-2</v>
      </c>
      <c r="M1786" s="4">
        <v>1.535401684144546E-2</v>
      </c>
      <c r="Q1786" t="s">
        <v>278</v>
      </c>
    </row>
    <row r="1787" spans="1:17" x14ac:dyDescent="0.25">
      <c r="A1787" t="s">
        <v>37</v>
      </c>
      <c r="B1787" t="s">
        <v>181</v>
      </c>
      <c r="C1787" s="4">
        <v>0.11669292257424591</v>
      </c>
      <c r="D1787" s="4">
        <v>0.11669292257424591</v>
      </c>
      <c r="E1787" s="4">
        <v>0.11669292257424591</v>
      </c>
      <c r="F1787" s="4">
        <v>0.11669292257424591</v>
      </c>
      <c r="G1787" s="4">
        <v>0.11669292257424591</v>
      </c>
      <c r="H1787" s="4">
        <v>0.11669292257424591</v>
      </c>
      <c r="I1787" s="4">
        <v>0.11669292257424591</v>
      </c>
      <c r="J1787" s="4">
        <v>0.11669292257424591</v>
      </c>
      <c r="K1787" s="4">
        <v>0.11669292257424591</v>
      </c>
      <c r="L1787" s="4">
        <v>0.11669292257424591</v>
      </c>
      <c r="M1787" s="4">
        <v>0.11669292257424591</v>
      </c>
      <c r="Q1787" t="s">
        <v>278</v>
      </c>
    </row>
    <row r="1788" spans="1:17" x14ac:dyDescent="0.25">
      <c r="A1788" t="s">
        <v>40</v>
      </c>
      <c r="B1788" t="s">
        <v>181</v>
      </c>
      <c r="C1788" s="4">
        <v>2.171447034932503E-3</v>
      </c>
      <c r="D1788" s="4">
        <v>2.171447034932503E-3</v>
      </c>
      <c r="E1788" s="4">
        <v>2.171447034932503E-3</v>
      </c>
      <c r="F1788" s="4">
        <v>2.171447034932503E-3</v>
      </c>
      <c r="G1788" s="4">
        <v>2.171447034932503E-3</v>
      </c>
      <c r="H1788" s="4">
        <v>2.171447034932503E-3</v>
      </c>
      <c r="I1788" s="4">
        <v>2.171447034932503E-3</v>
      </c>
      <c r="J1788" s="4">
        <v>2.171447034932503E-3</v>
      </c>
      <c r="K1788" s="4">
        <v>2.171447034932503E-3</v>
      </c>
      <c r="L1788" s="4">
        <v>2.171447034932503E-3</v>
      </c>
      <c r="M1788" s="4">
        <v>2.171447034932503E-3</v>
      </c>
      <c r="Q1788" t="s">
        <v>278</v>
      </c>
    </row>
    <row r="1789" spans="1:17" x14ac:dyDescent="0.25">
      <c r="A1789" t="s">
        <v>41</v>
      </c>
      <c r="B1789" t="s">
        <v>181</v>
      </c>
      <c r="C1789" s="4">
        <v>0.26293109744518622</v>
      </c>
      <c r="D1789" s="4">
        <v>0.26293109744518622</v>
      </c>
      <c r="E1789" s="4">
        <v>0.26293109744518622</v>
      </c>
      <c r="F1789" s="4">
        <v>0.26293109744518622</v>
      </c>
      <c r="G1789" s="4">
        <v>0.26293109744518622</v>
      </c>
      <c r="H1789" s="4">
        <v>0.26293109744518622</v>
      </c>
      <c r="I1789" s="4">
        <v>0.26293109744518622</v>
      </c>
      <c r="J1789" s="4">
        <v>0.26293109744518622</v>
      </c>
      <c r="K1789" s="4">
        <v>0.26293109744518622</v>
      </c>
      <c r="L1789" s="4">
        <v>0.26293109744518622</v>
      </c>
      <c r="M1789" s="4">
        <v>0.26293109744518622</v>
      </c>
      <c r="Q1789" t="s">
        <v>278</v>
      </c>
    </row>
    <row r="1790" spans="1:17" x14ac:dyDescent="0.25">
      <c r="A1790" t="s">
        <v>36</v>
      </c>
      <c r="B1790" t="s">
        <v>212</v>
      </c>
      <c r="C1790" s="4">
        <v>5.5989715060007099E-2</v>
      </c>
      <c r="D1790" s="4">
        <v>5.5989715060007099E-2</v>
      </c>
      <c r="E1790" s="4">
        <v>5.5989715060007099E-2</v>
      </c>
      <c r="F1790" s="4">
        <v>5.5989715060007099E-2</v>
      </c>
      <c r="G1790" s="4">
        <v>5.5989715060007099E-2</v>
      </c>
      <c r="H1790" s="4">
        <v>5.5989715060007099E-2</v>
      </c>
      <c r="I1790" s="4">
        <v>5.5989715060007099E-2</v>
      </c>
      <c r="J1790" s="4">
        <v>5.5989715060007099E-2</v>
      </c>
      <c r="K1790" s="4">
        <v>5.5989715060007099E-2</v>
      </c>
      <c r="L1790" s="4">
        <v>5.5989715060007099E-2</v>
      </c>
      <c r="M1790" s="4">
        <v>5.5989715060007099E-2</v>
      </c>
      <c r="Q1790" t="s">
        <v>278</v>
      </c>
    </row>
    <row r="1791" spans="1:17" x14ac:dyDescent="0.25">
      <c r="A1791" t="s">
        <v>42</v>
      </c>
      <c r="B1791" t="s">
        <v>84</v>
      </c>
      <c r="C1791" s="4">
        <v>7.5438352700745793E-4</v>
      </c>
      <c r="D1791" s="4">
        <v>7.5438352700745793E-4</v>
      </c>
      <c r="E1791" s="4">
        <v>7.5438352700745793E-4</v>
      </c>
      <c r="F1791" s="4">
        <v>7.5438352700745793E-4</v>
      </c>
      <c r="G1791" s="4">
        <v>7.5438352700745793E-4</v>
      </c>
      <c r="H1791" s="4">
        <v>7.5438352700745793E-4</v>
      </c>
      <c r="I1791" s="4">
        <v>7.5438352700745793E-4</v>
      </c>
      <c r="J1791" s="4">
        <v>7.5438352700745793E-4</v>
      </c>
      <c r="K1791" s="4">
        <v>7.5438352700745793E-4</v>
      </c>
      <c r="L1791" s="4">
        <v>7.5438352700745793E-4</v>
      </c>
      <c r="M1791" s="4">
        <v>7.5438352700745793E-4</v>
      </c>
      <c r="Q1791" t="s">
        <v>278</v>
      </c>
    </row>
    <row r="1792" spans="1:17" x14ac:dyDescent="0.25">
      <c r="A1792" t="s">
        <v>34</v>
      </c>
      <c r="B1792" t="s">
        <v>85</v>
      </c>
      <c r="C1792" s="4">
        <v>4.7901472299631917E-2</v>
      </c>
      <c r="D1792" s="4">
        <v>4.7901472299631917E-2</v>
      </c>
      <c r="E1792" s="4">
        <v>4.7901472299631917E-2</v>
      </c>
      <c r="F1792" s="4">
        <v>4.7901472299631917E-2</v>
      </c>
      <c r="G1792" s="4">
        <v>4.7901472299631917E-2</v>
      </c>
      <c r="H1792" s="4">
        <v>4.7901472299631917E-2</v>
      </c>
      <c r="I1792" s="4">
        <v>4.7901472299631917E-2</v>
      </c>
      <c r="J1792" s="4">
        <v>4.7901472299631917E-2</v>
      </c>
      <c r="K1792" s="4">
        <v>4.7901472299631917E-2</v>
      </c>
      <c r="L1792" s="4">
        <v>4.7901472299631917E-2</v>
      </c>
      <c r="M1792" s="4">
        <v>4.7901472299631917E-2</v>
      </c>
      <c r="Q1792" t="s">
        <v>278</v>
      </c>
    </row>
    <row r="1793" spans="1:17" x14ac:dyDescent="0.25">
      <c r="A1793" t="s">
        <v>43</v>
      </c>
      <c r="B1793" t="s">
        <v>85</v>
      </c>
      <c r="C1793" s="4">
        <v>5.6576097763496938E-2</v>
      </c>
      <c r="D1793" s="4">
        <v>5.6576097763496938E-2</v>
      </c>
      <c r="E1793" s="4">
        <v>5.6576097763496938E-2</v>
      </c>
      <c r="F1793" s="4">
        <v>5.6576097763496938E-2</v>
      </c>
      <c r="G1793" s="4">
        <v>5.6576097763496938E-2</v>
      </c>
      <c r="H1793" s="4">
        <v>5.6576097763496938E-2</v>
      </c>
      <c r="I1793" s="4">
        <v>5.6576097763496938E-2</v>
      </c>
      <c r="J1793" s="4">
        <v>5.6576097763496938E-2</v>
      </c>
      <c r="K1793" s="4">
        <v>5.6576097763496938E-2</v>
      </c>
      <c r="L1793" s="4">
        <v>5.6576097763496938E-2</v>
      </c>
      <c r="M1793" s="4">
        <v>5.6576097763496938E-2</v>
      </c>
      <c r="Q1793" t="s">
        <v>278</v>
      </c>
    </row>
    <row r="1794" spans="1:17" x14ac:dyDescent="0.25">
      <c r="A1794" t="s">
        <v>40</v>
      </c>
      <c r="B1794" t="s">
        <v>85</v>
      </c>
      <c r="C1794" s="4">
        <v>3.8105073716283952E-2</v>
      </c>
      <c r="D1794" s="4">
        <v>3.8105073716283952E-2</v>
      </c>
      <c r="E1794" s="4">
        <v>3.8105073716283952E-2</v>
      </c>
      <c r="F1794" s="4">
        <v>3.8105073716283952E-2</v>
      </c>
      <c r="G1794" s="4">
        <v>3.8105073716283952E-2</v>
      </c>
      <c r="H1794" s="4">
        <v>3.8105073716283952E-2</v>
      </c>
      <c r="I1794" s="4">
        <v>3.8105073716283952E-2</v>
      </c>
      <c r="J1794" s="4">
        <v>3.8105073716283952E-2</v>
      </c>
      <c r="K1794" s="4">
        <v>3.8105073716283952E-2</v>
      </c>
      <c r="L1794" s="4">
        <v>3.8105073716283952E-2</v>
      </c>
      <c r="M1794" s="4">
        <v>3.8105073716283952E-2</v>
      </c>
      <c r="Q1794" t="s">
        <v>278</v>
      </c>
    </row>
    <row r="1795" spans="1:17" x14ac:dyDescent="0.25">
      <c r="A1795" t="s">
        <v>44</v>
      </c>
      <c r="B1795" t="s">
        <v>85</v>
      </c>
      <c r="C1795" s="4">
        <v>0.89623759643053247</v>
      </c>
      <c r="D1795" s="4">
        <v>0.89623759643053247</v>
      </c>
      <c r="E1795" s="4">
        <v>0.89623759643053247</v>
      </c>
      <c r="F1795" s="4">
        <v>0.89623759643053247</v>
      </c>
      <c r="G1795" s="4">
        <v>0.89623759643053247</v>
      </c>
      <c r="H1795" s="4">
        <v>0.89623759643053247</v>
      </c>
      <c r="I1795" s="4">
        <v>0.89623759643053247</v>
      </c>
      <c r="J1795" s="4">
        <v>0.89623759643053247</v>
      </c>
      <c r="K1795" s="4">
        <v>0.89623759643053247</v>
      </c>
      <c r="L1795" s="4">
        <v>0.89623759643053247</v>
      </c>
      <c r="M1795" s="4">
        <v>0.89623759643053247</v>
      </c>
      <c r="Q1795" t="s">
        <v>278</v>
      </c>
    </row>
    <row r="1796" spans="1:17" x14ac:dyDescent="0.25">
      <c r="A1796" t="s">
        <v>45</v>
      </c>
      <c r="B1796" t="s">
        <v>85</v>
      </c>
      <c r="C1796" s="4">
        <v>0.59265932164214041</v>
      </c>
      <c r="D1796" s="4">
        <v>0.59265932164214041</v>
      </c>
      <c r="E1796" s="4">
        <v>0.59265932164214041</v>
      </c>
      <c r="F1796" s="4">
        <v>0.59265932164214041</v>
      </c>
      <c r="G1796" s="4">
        <v>0.59265932164214041</v>
      </c>
      <c r="H1796" s="4">
        <v>0.59265932164214041</v>
      </c>
      <c r="I1796" s="4">
        <v>0.59265932164214041</v>
      </c>
      <c r="J1796" s="4">
        <v>0.59265932164214041</v>
      </c>
      <c r="K1796" s="4">
        <v>0.59265932164214041</v>
      </c>
      <c r="L1796" s="4">
        <v>0.59265932164214041</v>
      </c>
      <c r="M1796" s="4">
        <v>0.59265932164214041</v>
      </c>
      <c r="Q1796" t="s">
        <v>278</v>
      </c>
    </row>
    <row r="1797" spans="1:17" x14ac:dyDescent="0.25">
      <c r="A1797" t="s">
        <v>36</v>
      </c>
      <c r="B1797" t="s">
        <v>85</v>
      </c>
      <c r="C1797" s="4">
        <v>4.6449075045633892E-2</v>
      </c>
      <c r="D1797" s="4">
        <v>4.6449075045633892E-2</v>
      </c>
      <c r="E1797" s="4">
        <v>4.6449075045633892E-2</v>
      </c>
      <c r="F1797" s="4">
        <v>4.6449075045633892E-2</v>
      </c>
      <c r="G1797" s="4">
        <v>4.6449075045633892E-2</v>
      </c>
      <c r="H1797" s="4">
        <v>4.6449075045633892E-2</v>
      </c>
      <c r="I1797" s="4">
        <v>4.6449075045633892E-2</v>
      </c>
      <c r="J1797" s="4">
        <v>4.6449075045633892E-2</v>
      </c>
      <c r="K1797" s="4">
        <v>4.6449075045633892E-2</v>
      </c>
      <c r="L1797" s="4">
        <v>4.6449075045633892E-2</v>
      </c>
      <c r="M1797" s="4">
        <v>4.6449075045633892E-2</v>
      </c>
      <c r="Q1797" t="s">
        <v>278</v>
      </c>
    </row>
    <row r="1798" spans="1:17" x14ac:dyDescent="0.25">
      <c r="A1798" t="s">
        <v>46</v>
      </c>
      <c r="B1798" t="s">
        <v>85</v>
      </c>
      <c r="C1798" s="4">
        <v>0.13280168392535219</v>
      </c>
      <c r="D1798" s="4">
        <v>0.13280168392535219</v>
      </c>
      <c r="E1798" s="4">
        <v>0.13280168392535219</v>
      </c>
      <c r="F1798" s="4">
        <v>0.13280168392535219</v>
      </c>
      <c r="G1798" s="4">
        <v>0.13280168392535219</v>
      </c>
      <c r="H1798" s="4">
        <v>0.13280168392535219</v>
      </c>
      <c r="I1798" s="4">
        <v>0.13280168392535219</v>
      </c>
      <c r="J1798" s="4">
        <v>0.13280168392535219</v>
      </c>
      <c r="K1798" s="4">
        <v>0.13280168392535219</v>
      </c>
      <c r="L1798" s="4">
        <v>0.13280168392535219</v>
      </c>
      <c r="M1798" s="4">
        <v>0.13280168392535219</v>
      </c>
      <c r="Q1798" t="s">
        <v>278</v>
      </c>
    </row>
    <row r="1799" spans="1:17" x14ac:dyDescent="0.25">
      <c r="A1799" t="s">
        <v>39</v>
      </c>
      <c r="B1799" t="s">
        <v>85</v>
      </c>
      <c r="C1799" s="4">
        <v>6.7956417260761681E-2</v>
      </c>
      <c r="D1799" s="4">
        <v>6.7956417260761681E-2</v>
      </c>
      <c r="E1799" s="4">
        <v>6.7956417260761681E-2</v>
      </c>
      <c r="F1799" s="4">
        <v>6.7956417260761681E-2</v>
      </c>
      <c r="G1799" s="4">
        <v>6.7956417260761681E-2</v>
      </c>
      <c r="H1799" s="4">
        <v>6.7956417260761681E-2</v>
      </c>
      <c r="I1799" s="4">
        <v>6.7956417260761681E-2</v>
      </c>
      <c r="J1799" s="4">
        <v>6.7956417260761681E-2</v>
      </c>
      <c r="K1799" s="4">
        <v>6.7956417260761681E-2</v>
      </c>
      <c r="L1799" s="4">
        <v>6.7956417260761681E-2</v>
      </c>
      <c r="M1799" s="4">
        <v>6.7956417260761681E-2</v>
      </c>
      <c r="Q1799" t="s">
        <v>278</v>
      </c>
    </row>
    <row r="1800" spans="1:17" x14ac:dyDescent="0.25">
      <c r="A1800" t="s">
        <v>44</v>
      </c>
      <c r="B1800" t="s">
        <v>116</v>
      </c>
      <c r="C1800" s="4">
        <v>0.1037624035694675</v>
      </c>
      <c r="D1800" s="4">
        <v>0.1037624035694675</v>
      </c>
      <c r="E1800" s="4">
        <v>0.1037624035694675</v>
      </c>
      <c r="F1800" s="4">
        <v>0.1037624035694675</v>
      </c>
      <c r="G1800" s="4">
        <v>0.1037624035694675</v>
      </c>
      <c r="H1800" s="4">
        <v>0.1037624035694675</v>
      </c>
      <c r="I1800" s="4">
        <v>0.1037624035694675</v>
      </c>
      <c r="J1800" s="4">
        <v>0.1037624035694675</v>
      </c>
      <c r="K1800" s="4">
        <v>0.1037624035694675</v>
      </c>
      <c r="L1800" s="4">
        <v>0.1037624035694675</v>
      </c>
      <c r="M1800" s="4">
        <v>0.1037624035694675</v>
      </c>
      <c r="Q1800" t="s">
        <v>278</v>
      </c>
    </row>
    <row r="1801" spans="1:17" x14ac:dyDescent="0.25">
      <c r="A1801" t="s">
        <v>36</v>
      </c>
      <c r="B1801" t="s">
        <v>116</v>
      </c>
      <c r="C1801" s="4">
        <v>1.6442972566154401E-2</v>
      </c>
      <c r="D1801" s="4">
        <v>1.6442972566154401E-2</v>
      </c>
      <c r="E1801" s="4">
        <v>1.6442972566154401E-2</v>
      </c>
      <c r="F1801" s="4">
        <v>1.6442972566154401E-2</v>
      </c>
      <c r="G1801" s="4">
        <v>1.6442972566154401E-2</v>
      </c>
      <c r="H1801" s="4">
        <v>1.6442972566154401E-2</v>
      </c>
      <c r="I1801" s="4">
        <v>1.6442972566154401E-2</v>
      </c>
      <c r="J1801" s="4">
        <v>1.6442972566154401E-2</v>
      </c>
      <c r="K1801" s="4">
        <v>1.6442972566154401E-2</v>
      </c>
      <c r="L1801" s="4">
        <v>1.6442972566154401E-2</v>
      </c>
      <c r="M1801" s="4">
        <v>1.6442972566154401E-2</v>
      </c>
      <c r="Q1801" t="s">
        <v>278</v>
      </c>
    </row>
    <row r="1802" spans="1:17" x14ac:dyDescent="0.25">
      <c r="A1802" t="s">
        <v>41</v>
      </c>
      <c r="B1802" t="s">
        <v>116</v>
      </c>
      <c r="C1802" s="4">
        <v>4.0900392935917851E-2</v>
      </c>
      <c r="D1802" s="4">
        <v>4.0900392935917851E-2</v>
      </c>
      <c r="E1802" s="4">
        <v>4.0900392935917851E-2</v>
      </c>
      <c r="F1802" s="4">
        <v>4.0900392935917851E-2</v>
      </c>
      <c r="G1802" s="4">
        <v>4.0900392935917851E-2</v>
      </c>
      <c r="H1802" s="4">
        <v>4.0900392935917851E-2</v>
      </c>
      <c r="I1802" s="4">
        <v>4.0900392935917851E-2</v>
      </c>
      <c r="J1802" s="4">
        <v>4.0900392935917851E-2</v>
      </c>
      <c r="K1802" s="4">
        <v>4.0900392935917851E-2</v>
      </c>
      <c r="L1802" s="4">
        <v>4.0900392935917851E-2</v>
      </c>
      <c r="M1802" s="4">
        <v>4.0900392935917851E-2</v>
      </c>
      <c r="Q1802" t="s">
        <v>278</v>
      </c>
    </row>
    <row r="1803" spans="1:17" x14ac:dyDescent="0.25">
      <c r="A1803" t="s">
        <v>39</v>
      </c>
      <c r="B1803" t="s">
        <v>116</v>
      </c>
      <c r="C1803" s="4">
        <v>9.9702263867411933E-3</v>
      </c>
      <c r="D1803" s="4">
        <v>9.9702263867411933E-3</v>
      </c>
      <c r="E1803" s="4">
        <v>9.9702263867411933E-3</v>
      </c>
      <c r="F1803" s="4">
        <v>9.9702263867411933E-3</v>
      </c>
      <c r="G1803" s="4">
        <v>9.9702263867411933E-3</v>
      </c>
      <c r="H1803" s="4">
        <v>9.9702263867411933E-3</v>
      </c>
      <c r="I1803" s="4">
        <v>9.9702263867411933E-3</v>
      </c>
      <c r="J1803" s="4">
        <v>9.9702263867411933E-3</v>
      </c>
      <c r="K1803" s="4">
        <v>9.9702263867411933E-3</v>
      </c>
      <c r="L1803" s="4">
        <v>9.9702263867411933E-3</v>
      </c>
      <c r="M1803" s="4">
        <v>9.9702263867411933E-3</v>
      </c>
      <c r="Q1803" t="s">
        <v>278</v>
      </c>
    </row>
    <row r="1804" spans="1:17" x14ac:dyDescent="0.25">
      <c r="A1804" t="s">
        <v>37</v>
      </c>
      <c r="B1804" t="s">
        <v>145</v>
      </c>
      <c r="C1804" s="4">
        <v>0.47001316036849028</v>
      </c>
      <c r="D1804" s="4">
        <v>0.47001316036849028</v>
      </c>
      <c r="E1804" s="4">
        <v>0.47001316036849028</v>
      </c>
      <c r="F1804" s="4">
        <v>0.47001316036849028</v>
      </c>
      <c r="G1804" s="4">
        <v>0.47001316036849028</v>
      </c>
      <c r="H1804" s="4">
        <v>0.47001316036849028</v>
      </c>
      <c r="I1804" s="4">
        <v>0.47001316036849028</v>
      </c>
      <c r="J1804" s="4">
        <v>0.47001316036849028</v>
      </c>
      <c r="K1804" s="4">
        <v>0.47001316036849028</v>
      </c>
      <c r="L1804" s="4">
        <v>0.47001316036849028</v>
      </c>
      <c r="M1804" s="4">
        <v>0.47001316036849028</v>
      </c>
      <c r="Q1804" t="s">
        <v>278</v>
      </c>
    </row>
    <row r="1805" spans="1:17" x14ac:dyDescent="0.25">
      <c r="A1805" t="s">
        <v>42</v>
      </c>
      <c r="B1805" t="s">
        <v>86</v>
      </c>
      <c r="C1805" s="4">
        <v>0.90218847233221822</v>
      </c>
      <c r="D1805" s="4">
        <v>0.90218847233221822</v>
      </c>
      <c r="E1805" s="4">
        <v>0.90218847233221822</v>
      </c>
      <c r="F1805" s="4">
        <v>0.90218847233221822</v>
      </c>
      <c r="G1805" s="4">
        <v>0.90218847233221822</v>
      </c>
      <c r="H1805" s="4">
        <v>0.90218847233221822</v>
      </c>
      <c r="I1805" s="4">
        <v>0.90218847233221822</v>
      </c>
      <c r="J1805" s="4">
        <v>0.90218847233221822</v>
      </c>
      <c r="K1805" s="4">
        <v>0.90218847233221822</v>
      </c>
      <c r="L1805" s="4">
        <v>0.90218847233221822</v>
      </c>
      <c r="M1805" s="4">
        <v>0.90218847233221822</v>
      </c>
      <c r="Q1805" t="s">
        <v>278</v>
      </c>
    </row>
    <row r="1806" spans="1:17" x14ac:dyDescent="0.25">
      <c r="A1806" t="s">
        <v>39</v>
      </c>
      <c r="B1806" t="s">
        <v>86</v>
      </c>
      <c r="C1806" s="4">
        <v>0.77819165529612755</v>
      </c>
      <c r="D1806" s="4">
        <v>0.77819165529612755</v>
      </c>
      <c r="E1806" s="4">
        <v>0.77819165529612755</v>
      </c>
      <c r="F1806" s="4">
        <v>0.77819165529612755</v>
      </c>
      <c r="G1806" s="4">
        <v>0.77819165529612755</v>
      </c>
      <c r="H1806" s="4">
        <v>0.77819165529612755</v>
      </c>
      <c r="I1806" s="4">
        <v>0.77819165529612755</v>
      </c>
      <c r="J1806" s="4">
        <v>0.77819165529612755</v>
      </c>
      <c r="K1806" s="4">
        <v>0.77819165529612755</v>
      </c>
      <c r="L1806" s="4">
        <v>0.77819165529612755</v>
      </c>
      <c r="M1806" s="4">
        <v>0.77819165529612755</v>
      </c>
      <c r="Q1806" t="s">
        <v>278</v>
      </c>
    </row>
    <row r="1807" spans="1:17" x14ac:dyDescent="0.25">
      <c r="A1807" t="s">
        <v>40</v>
      </c>
      <c r="B1807" t="s">
        <v>87</v>
      </c>
      <c r="C1807" s="4">
        <v>9.8499616956743044E-2</v>
      </c>
      <c r="D1807" s="4">
        <v>9.8499616956743044E-2</v>
      </c>
      <c r="E1807" s="4">
        <v>9.8499616956743044E-2</v>
      </c>
      <c r="F1807" s="4">
        <v>9.8499616956743044E-2</v>
      </c>
      <c r="G1807" s="4">
        <v>9.8499616956743044E-2</v>
      </c>
      <c r="H1807" s="4">
        <v>9.8499616956743044E-2</v>
      </c>
      <c r="I1807" s="4">
        <v>9.8499616956743044E-2</v>
      </c>
      <c r="J1807" s="4">
        <v>9.8499616956743044E-2</v>
      </c>
      <c r="K1807" s="4">
        <v>9.8499616956743044E-2</v>
      </c>
      <c r="L1807" s="4">
        <v>9.8499616956743044E-2</v>
      </c>
      <c r="M1807" s="4">
        <v>9.8499616956743044E-2</v>
      </c>
      <c r="Q1807" t="s">
        <v>278</v>
      </c>
    </row>
    <row r="1808" spans="1:17" x14ac:dyDescent="0.25">
      <c r="A1808" t="s">
        <v>41</v>
      </c>
      <c r="B1808" t="s">
        <v>217</v>
      </c>
      <c r="C1808" s="4">
        <v>0.23517725938152759</v>
      </c>
      <c r="D1808" s="4">
        <v>0.23517725938152759</v>
      </c>
      <c r="E1808" s="4">
        <v>0.23517725938152759</v>
      </c>
      <c r="F1808" s="4">
        <v>0.23517725938152759</v>
      </c>
      <c r="G1808" s="4">
        <v>0.23517725938152759</v>
      </c>
      <c r="H1808" s="4">
        <v>0.23517725938152759</v>
      </c>
      <c r="I1808" s="4">
        <v>0.23517725938152759</v>
      </c>
      <c r="J1808" s="4">
        <v>0.23517725938152759</v>
      </c>
      <c r="K1808" s="4">
        <v>0.23517725938152759</v>
      </c>
      <c r="L1808" s="4">
        <v>0.23517725938152759</v>
      </c>
      <c r="M1808" s="4">
        <v>0.23517725938152759</v>
      </c>
      <c r="Q1808" t="s">
        <v>278</v>
      </c>
    </row>
    <row r="1809" spans="1:17" x14ac:dyDescent="0.25">
      <c r="A1809" t="s">
        <v>40</v>
      </c>
      <c r="B1809" t="s">
        <v>89</v>
      </c>
      <c r="C1809" s="4">
        <v>5.4086576461861567E-2</v>
      </c>
      <c r="D1809" s="4">
        <v>5.4086576461861567E-2</v>
      </c>
      <c r="E1809" s="4">
        <v>5.4086576461861567E-2</v>
      </c>
      <c r="F1809" s="4">
        <v>5.4086576461861567E-2</v>
      </c>
      <c r="G1809" s="4">
        <v>5.4086576461861567E-2</v>
      </c>
      <c r="H1809" s="4">
        <v>5.4086576461861567E-2</v>
      </c>
      <c r="I1809" s="4">
        <v>5.4086576461861567E-2</v>
      </c>
      <c r="J1809" s="4">
        <v>5.4086576461861567E-2</v>
      </c>
      <c r="K1809" s="4">
        <v>5.4086576461861567E-2</v>
      </c>
      <c r="L1809" s="4">
        <v>5.4086576461861567E-2</v>
      </c>
      <c r="M1809" s="4">
        <v>5.4086576461861567E-2</v>
      </c>
      <c r="Q1809" t="s">
        <v>278</v>
      </c>
    </row>
    <row r="1810" spans="1:17" x14ac:dyDescent="0.25">
      <c r="A1810" t="s">
        <v>36</v>
      </c>
      <c r="B1810" t="s">
        <v>128</v>
      </c>
      <c r="C1810" s="4">
        <v>2.8307831397661031E-2</v>
      </c>
      <c r="D1810" s="4">
        <v>2.8307831397661031E-2</v>
      </c>
      <c r="E1810" s="4">
        <v>2.8307831397661031E-2</v>
      </c>
      <c r="F1810" s="4">
        <v>2.8307831397661031E-2</v>
      </c>
      <c r="G1810" s="4">
        <v>2.8307831397661031E-2</v>
      </c>
      <c r="H1810" s="4">
        <v>2.8307831397661031E-2</v>
      </c>
      <c r="I1810" s="4">
        <v>2.8307831397661031E-2</v>
      </c>
      <c r="J1810" s="4">
        <v>2.8307831397661031E-2</v>
      </c>
      <c r="K1810" s="4">
        <v>2.8307831397661031E-2</v>
      </c>
      <c r="L1810" s="4">
        <v>2.8307831397661031E-2</v>
      </c>
      <c r="M1810" s="4">
        <v>2.8307831397661031E-2</v>
      </c>
      <c r="Q1810" t="s">
        <v>278</v>
      </c>
    </row>
    <row r="1811" spans="1:17" x14ac:dyDescent="0.25">
      <c r="A1811" t="s">
        <v>46</v>
      </c>
      <c r="B1811" t="s">
        <v>128</v>
      </c>
      <c r="C1811" s="4">
        <v>6.8307210135424512E-2</v>
      </c>
      <c r="D1811" s="4">
        <v>6.8307210135424512E-2</v>
      </c>
      <c r="E1811" s="4">
        <v>6.8307210135424512E-2</v>
      </c>
      <c r="F1811" s="4">
        <v>6.8307210135424512E-2</v>
      </c>
      <c r="G1811" s="4">
        <v>6.8307210135424512E-2</v>
      </c>
      <c r="H1811" s="4">
        <v>6.8307210135424512E-2</v>
      </c>
      <c r="I1811" s="4">
        <v>6.8307210135424512E-2</v>
      </c>
      <c r="J1811" s="4">
        <v>6.8307210135424512E-2</v>
      </c>
      <c r="K1811" s="4">
        <v>6.8307210135424512E-2</v>
      </c>
      <c r="L1811" s="4">
        <v>6.8307210135424512E-2</v>
      </c>
      <c r="M1811" s="4">
        <v>6.8307210135424512E-2</v>
      </c>
      <c r="Q1811" t="s">
        <v>278</v>
      </c>
    </row>
    <row r="1812" spans="1:17" x14ac:dyDescent="0.25">
      <c r="A1812" t="s">
        <v>34</v>
      </c>
      <c r="B1812" t="s">
        <v>154</v>
      </c>
      <c r="C1812" s="4">
        <v>0.11216975872838821</v>
      </c>
      <c r="D1812" s="4">
        <v>0.11216975872838821</v>
      </c>
      <c r="E1812" s="4">
        <v>0.11216975872838821</v>
      </c>
      <c r="F1812" s="4">
        <v>0.11216975872838821</v>
      </c>
      <c r="G1812" s="4">
        <v>0.11216975872838821</v>
      </c>
      <c r="H1812" s="4">
        <v>0.11216975872838821</v>
      </c>
      <c r="I1812" s="4">
        <v>0.11216975872838821</v>
      </c>
      <c r="J1812" s="4">
        <v>0.11216975872838821</v>
      </c>
      <c r="K1812" s="4">
        <v>0.11216975872838821</v>
      </c>
      <c r="L1812" s="4">
        <v>0.11216975872838821</v>
      </c>
      <c r="M1812" s="4">
        <v>0.11216975872838821</v>
      </c>
      <c r="Q1812" t="s">
        <v>278</v>
      </c>
    </row>
    <row r="1813" spans="1:17" x14ac:dyDescent="0.25">
      <c r="A1813" t="s">
        <v>43</v>
      </c>
      <c r="B1813" t="s">
        <v>91</v>
      </c>
      <c r="C1813" s="4">
        <v>4.3617675371343041E-2</v>
      </c>
      <c r="D1813" s="4">
        <v>4.3617675371343041E-2</v>
      </c>
      <c r="E1813" s="4">
        <v>4.3617675371343041E-2</v>
      </c>
      <c r="F1813" s="4">
        <v>4.3617675371343041E-2</v>
      </c>
      <c r="G1813" s="4">
        <v>4.3617675371343041E-2</v>
      </c>
      <c r="H1813" s="4">
        <v>4.3617675371343041E-2</v>
      </c>
      <c r="I1813" s="4">
        <v>4.3617675371343041E-2</v>
      </c>
      <c r="J1813" s="4">
        <v>4.3617675371343041E-2</v>
      </c>
      <c r="K1813" s="4">
        <v>4.3617675371343041E-2</v>
      </c>
      <c r="L1813" s="4">
        <v>4.3617675371343041E-2</v>
      </c>
      <c r="M1813" s="4">
        <v>4.3617675371343041E-2</v>
      </c>
      <c r="Q1813" t="s">
        <v>278</v>
      </c>
    </row>
    <row r="1814" spans="1:17" x14ac:dyDescent="0.25">
      <c r="A1814" t="s">
        <v>35</v>
      </c>
      <c r="B1814" t="s">
        <v>91</v>
      </c>
      <c r="C1814" s="4">
        <v>2.3054621122926219E-2</v>
      </c>
      <c r="D1814" s="4">
        <v>2.3054621122926219E-2</v>
      </c>
      <c r="E1814" s="4">
        <v>2.3054621122926219E-2</v>
      </c>
      <c r="F1814" s="4">
        <v>2.3054621122926219E-2</v>
      </c>
      <c r="G1814" s="4">
        <v>2.3054621122926219E-2</v>
      </c>
      <c r="H1814" s="4">
        <v>2.3054621122926219E-2</v>
      </c>
      <c r="I1814" s="4">
        <v>2.3054621122926219E-2</v>
      </c>
      <c r="J1814" s="4">
        <v>2.3054621122926219E-2</v>
      </c>
      <c r="K1814" s="4">
        <v>2.3054621122926219E-2</v>
      </c>
      <c r="L1814" s="4">
        <v>2.3054621122926219E-2</v>
      </c>
      <c r="M1814" s="4">
        <v>2.3054621122926219E-2</v>
      </c>
      <c r="Q1814" t="s">
        <v>278</v>
      </c>
    </row>
    <row r="1815" spans="1:17" x14ac:dyDescent="0.25">
      <c r="A1815" t="s">
        <v>36</v>
      </c>
      <c r="B1815" t="s">
        <v>91</v>
      </c>
      <c r="C1815" s="4">
        <v>2.1366574520991589E-2</v>
      </c>
      <c r="D1815" s="4">
        <v>2.1366574520991589E-2</v>
      </c>
      <c r="E1815" s="4">
        <v>2.1366574520991589E-2</v>
      </c>
      <c r="F1815" s="4">
        <v>2.1366574520991589E-2</v>
      </c>
      <c r="G1815" s="4">
        <v>2.1366574520991589E-2</v>
      </c>
      <c r="H1815" s="4">
        <v>2.1366574520991589E-2</v>
      </c>
      <c r="I1815" s="4">
        <v>2.1366574520991589E-2</v>
      </c>
      <c r="J1815" s="4">
        <v>2.1366574520991589E-2</v>
      </c>
      <c r="K1815" s="4">
        <v>2.1366574520991589E-2</v>
      </c>
      <c r="L1815" s="4">
        <v>2.1366574520991589E-2</v>
      </c>
      <c r="M1815" s="4">
        <v>2.1366574520991589E-2</v>
      </c>
      <c r="Q1815" t="s">
        <v>278</v>
      </c>
    </row>
    <row r="1816" spans="1:17" x14ac:dyDescent="0.25">
      <c r="A1816" t="s">
        <v>39</v>
      </c>
      <c r="B1816" t="s">
        <v>91</v>
      </c>
      <c r="C1816" s="4">
        <v>3.7297740481794552E-2</v>
      </c>
      <c r="D1816" s="4">
        <v>3.7297740481794552E-2</v>
      </c>
      <c r="E1816" s="4">
        <v>3.7297740481794552E-2</v>
      </c>
      <c r="F1816" s="4">
        <v>3.7297740481794552E-2</v>
      </c>
      <c r="G1816" s="4">
        <v>3.7297740481794552E-2</v>
      </c>
      <c r="H1816" s="4">
        <v>3.7297740481794552E-2</v>
      </c>
      <c r="I1816" s="4">
        <v>3.7297740481794552E-2</v>
      </c>
      <c r="J1816" s="4">
        <v>3.7297740481794552E-2</v>
      </c>
      <c r="K1816" s="4">
        <v>3.7297740481794552E-2</v>
      </c>
      <c r="L1816" s="4">
        <v>3.7297740481794552E-2</v>
      </c>
      <c r="M1816" s="4">
        <v>3.7297740481794552E-2</v>
      </c>
      <c r="Q1816" t="s">
        <v>278</v>
      </c>
    </row>
    <row r="1817" spans="1:17" x14ac:dyDescent="0.25">
      <c r="A1817" t="s">
        <v>35</v>
      </c>
      <c r="B1817" t="s">
        <v>195</v>
      </c>
      <c r="C1817" s="4">
        <v>1.247717491535303E-2</v>
      </c>
      <c r="D1817" s="4">
        <v>1.247717491535303E-2</v>
      </c>
      <c r="E1817" s="4">
        <v>1.247717491535303E-2</v>
      </c>
      <c r="F1817" s="4">
        <v>1.247717491535303E-2</v>
      </c>
      <c r="G1817" s="4">
        <v>1.247717491535303E-2</v>
      </c>
      <c r="H1817" s="4">
        <v>1.247717491535303E-2</v>
      </c>
      <c r="I1817" s="4">
        <v>1.247717491535303E-2</v>
      </c>
      <c r="J1817" s="4">
        <v>1.247717491535303E-2</v>
      </c>
      <c r="K1817" s="4">
        <v>1.247717491535303E-2</v>
      </c>
      <c r="L1817" s="4">
        <v>1.247717491535303E-2</v>
      </c>
      <c r="M1817" s="4">
        <v>1.247717491535303E-2</v>
      </c>
      <c r="Q1817" t="s">
        <v>278</v>
      </c>
    </row>
    <row r="1818" spans="1:17" x14ac:dyDescent="0.25">
      <c r="A1818" t="s">
        <v>43</v>
      </c>
      <c r="B1818" t="s">
        <v>169</v>
      </c>
      <c r="C1818" s="4">
        <v>2.0800035942462108E-3</v>
      </c>
      <c r="D1818" s="4">
        <v>2.0800035942462108E-3</v>
      </c>
      <c r="E1818" s="4">
        <v>2.0800035942462108E-3</v>
      </c>
      <c r="F1818" s="4">
        <v>2.0800035942462108E-3</v>
      </c>
      <c r="G1818" s="4">
        <v>2.0800035942462108E-3</v>
      </c>
      <c r="H1818" s="4">
        <v>2.0800035942462108E-3</v>
      </c>
      <c r="I1818" s="4">
        <v>2.0800035942462108E-3</v>
      </c>
      <c r="J1818" s="4">
        <v>2.0800035942462108E-3</v>
      </c>
      <c r="K1818" s="4">
        <v>2.0800035942462108E-3</v>
      </c>
      <c r="L1818" s="4">
        <v>2.0800035942462108E-3</v>
      </c>
      <c r="M1818" s="4">
        <v>2.0800035942462108E-3</v>
      </c>
      <c r="Q1818" t="s">
        <v>278</v>
      </c>
    </row>
    <row r="1819" spans="1:17" x14ac:dyDescent="0.25">
      <c r="A1819" t="s">
        <v>35</v>
      </c>
      <c r="B1819" t="s">
        <v>169</v>
      </c>
      <c r="C1819" s="4">
        <v>0.109361161887741</v>
      </c>
      <c r="D1819" s="4">
        <v>0.109361161887741</v>
      </c>
      <c r="E1819" s="4">
        <v>0.109361161887741</v>
      </c>
      <c r="F1819" s="4">
        <v>0.109361161887741</v>
      </c>
      <c r="G1819" s="4">
        <v>0.109361161887741</v>
      </c>
      <c r="H1819" s="4">
        <v>0.109361161887741</v>
      </c>
      <c r="I1819" s="4">
        <v>0.109361161887741</v>
      </c>
      <c r="J1819" s="4">
        <v>0.109361161887741</v>
      </c>
      <c r="K1819" s="4">
        <v>0.109361161887741</v>
      </c>
      <c r="L1819" s="4">
        <v>0.109361161887741</v>
      </c>
      <c r="M1819" s="4">
        <v>0.109361161887741</v>
      </c>
      <c r="Q1819" t="s">
        <v>278</v>
      </c>
    </row>
    <row r="1820" spans="1:17" x14ac:dyDescent="0.25">
      <c r="A1820" t="s">
        <v>34</v>
      </c>
      <c r="B1820" t="s">
        <v>117</v>
      </c>
      <c r="C1820" s="4">
        <v>5.0314830046890189E-3</v>
      </c>
      <c r="D1820" s="4">
        <v>5.0314830046890189E-3</v>
      </c>
      <c r="E1820" s="4">
        <v>5.0314830046890189E-3</v>
      </c>
      <c r="F1820" s="4">
        <v>5.0314830046890189E-3</v>
      </c>
      <c r="G1820" s="4">
        <v>5.0314830046890189E-3</v>
      </c>
      <c r="H1820" s="4">
        <v>5.0314830046890189E-3</v>
      </c>
      <c r="I1820" s="4">
        <v>5.0314830046890189E-3</v>
      </c>
      <c r="J1820" s="4">
        <v>5.0314830046890189E-3</v>
      </c>
      <c r="K1820" s="4">
        <v>5.0314830046890189E-3</v>
      </c>
      <c r="L1820" s="4">
        <v>5.0314830046890189E-3</v>
      </c>
      <c r="M1820" s="4">
        <v>5.0314830046890189E-3</v>
      </c>
      <c r="Q1820" t="s">
        <v>278</v>
      </c>
    </row>
    <row r="1821" spans="1:17" x14ac:dyDescent="0.25">
      <c r="A1821" t="s">
        <v>46</v>
      </c>
      <c r="B1821" t="s">
        <v>117</v>
      </c>
      <c r="C1821" s="4">
        <v>2.6958741836846489E-2</v>
      </c>
      <c r="D1821" s="4">
        <v>2.6958741836846489E-2</v>
      </c>
      <c r="E1821" s="4">
        <v>2.6958741836846489E-2</v>
      </c>
      <c r="F1821" s="4">
        <v>2.6958741836846489E-2</v>
      </c>
      <c r="G1821" s="4">
        <v>2.6958741836846489E-2</v>
      </c>
      <c r="H1821" s="4">
        <v>2.6958741836846489E-2</v>
      </c>
      <c r="I1821" s="4">
        <v>2.6958741836846489E-2</v>
      </c>
      <c r="J1821" s="4">
        <v>2.6958741836846489E-2</v>
      </c>
      <c r="K1821" s="4">
        <v>2.6958741836846489E-2</v>
      </c>
      <c r="L1821" s="4">
        <v>2.6958741836846489E-2</v>
      </c>
      <c r="M1821" s="4">
        <v>2.6958741836846489E-2</v>
      </c>
      <c r="Q1821" t="s">
        <v>278</v>
      </c>
    </row>
    <row r="1822" spans="1:17" x14ac:dyDescent="0.25">
      <c r="A1822" t="s">
        <v>39</v>
      </c>
      <c r="B1822" t="s">
        <v>117</v>
      </c>
      <c r="C1822" s="4">
        <v>9.959089782251046E-3</v>
      </c>
      <c r="D1822" s="4">
        <v>9.959089782251046E-3</v>
      </c>
      <c r="E1822" s="4">
        <v>9.959089782251046E-3</v>
      </c>
      <c r="F1822" s="4">
        <v>9.959089782251046E-3</v>
      </c>
      <c r="G1822" s="4">
        <v>9.959089782251046E-3</v>
      </c>
      <c r="H1822" s="4">
        <v>9.959089782251046E-3</v>
      </c>
      <c r="I1822" s="4">
        <v>9.959089782251046E-3</v>
      </c>
      <c r="J1822" s="4">
        <v>9.959089782251046E-3</v>
      </c>
      <c r="K1822" s="4">
        <v>9.959089782251046E-3</v>
      </c>
      <c r="L1822" s="4">
        <v>9.959089782251046E-3</v>
      </c>
      <c r="M1822" s="4">
        <v>9.959089782251046E-3</v>
      </c>
      <c r="Q1822" t="s">
        <v>278</v>
      </c>
    </row>
    <row r="1823" spans="1:17" x14ac:dyDescent="0.25">
      <c r="A1823" t="s">
        <v>40</v>
      </c>
      <c r="B1823" t="s">
        <v>93</v>
      </c>
      <c r="C1823" s="4">
        <v>4.8799189789682333E-2</v>
      </c>
      <c r="D1823" s="4">
        <v>4.8799189789682333E-2</v>
      </c>
      <c r="E1823" s="4">
        <v>4.8799189789682333E-2</v>
      </c>
      <c r="F1823" s="4">
        <v>4.8799189789682333E-2</v>
      </c>
      <c r="G1823" s="4">
        <v>4.8799189789682333E-2</v>
      </c>
      <c r="H1823" s="4">
        <v>4.8799189789682333E-2</v>
      </c>
      <c r="I1823" s="4">
        <v>4.8799189789682333E-2</v>
      </c>
      <c r="J1823" s="4">
        <v>4.8799189789682333E-2</v>
      </c>
      <c r="K1823" s="4">
        <v>4.8799189789682333E-2</v>
      </c>
      <c r="L1823" s="4">
        <v>4.8799189789682333E-2</v>
      </c>
      <c r="M1823" s="4">
        <v>4.8799189789682333E-2</v>
      </c>
      <c r="Q1823" t="s">
        <v>278</v>
      </c>
    </row>
    <row r="1824" spans="1:17" x14ac:dyDescent="0.25">
      <c r="A1824" t="s">
        <v>36</v>
      </c>
      <c r="B1824" t="s">
        <v>129</v>
      </c>
      <c r="C1824" s="4">
        <v>5.6290890862602992E-2</v>
      </c>
      <c r="D1824" s="4">
        <v>5.6290890862602992E-2</v>
      </c>
      <c r="E1824" s="4">
        <v>5.6290890862602992E-2</v>
      </c>
      <c r="F1824" s="4">
        <v>5.6290890862602992E-2</v>
      </c>
      <c r="G1824" s="4">
        <v>5.6290890862602992E-2</v>
      </c>
      <c r="H1824" s="4">
        <v>5.6290890862602992E-2</v>
      </c>
      <c r="I1824" s="4">
        <v>5.6290890862602992E-2</v>
      </c>
      <c r="J1824" s="4">
        <v>5.6290890862602992E-2</v>
      </c>
      <c r="K1824" s="4">
        <v>5.6290890862602992E-2</v>
      </c>
      <c r="L1824" s="4">
        <v>5.6290890862602992E-2</v>
      </c>
      <c r="M1824" s="4">
        <v>5.6290890862602992E-2</v>
      </c>
      <c r="Q1824" t="s">
        <v>278</v>
      </c>
    </row>
    <row r="1825" spans="1:17" x14ac:dyDescent="0.25">
      <c r="A1825" t="s">
        <v>47</v>
      </c>
      <c r="B1825" t="s">
        <v>97</v>
      </c>
      <c r="C1825" s="4">
        <v>1</v>
      </c>
      <c r="D1825" s="4">
        <v>1</v>
      </c>
      <c r="E1825" s="4">
        <v>1</v>
      </c>
      <c r="F1825" s="4">
        <v>1</v>
      </c>
      <c r="G1825" s="4">
        <v>1</v>
      </c>
      <c r="H1825" s="4">
        <v>1</v>
      </c>
      <c r="I1825" s="4">
        <v>1</v>
      </c>
      <c r="J1825" s="4">
        <v>1</v>
      </c>
      <c r="K1825" s="4">
        <v>1</v>
      </c>
      <c r="L1825" s="4">
        <v>1</v>
      </c>
      <c r="M1825" s="4">
        <v>1</v>
      </c>
      <c r="Q1825" t="s">
        <v>278</v>
      </c>
    </row>
    <row r="1826" spans="1:17" x14ac:dyDescent="0.25">
      <c r="A1826" t="s">
        <v>34</v>
      </c>
      <c r="B1826" t="s">
        <v>97</v>
      </c>
      <c r="C1826" s="4">
        <v>0.20921275616653251</v>
      </c>
      <c r="D1826" s="4">
        <v>0.20921275616653251</v>
      </c>
      <c r="E1826" s="4">
        <v>0.20921275616653251</v>
      </c>
      <c r="F1826" s="4">
        <v>0.20921275616653251</v>
      </c>
      <c r="G1826" s="4">
        <v>0.20921275616653251</v>
      </c>
      <c r="H1826" s="4">
        <v>0.20921275616653251</v>
      </c>
      <c r="I1826" s="4">
        <v>0.20921275616653251</v>
      </c>
      <c r="J1826" s="4">
        <v>0.20921275616653251</v>
      </c>
      <c r="K1826" s="4">
        <v>0.20921275616653251</v>
      </c>
      <c r="L1826" s="4">
        <v>0.20921275616653251</v>
      </c>
      <c r="M1826" s="4">
        <v>0.20921275616653251</v>
      </c>
      <c r="Q1826" t="s">
        <v>278</v>
      </c>
    </row>
    <row r="1827" spans="1:17" x14ac:dyDescent="0.25">
      <c r="A1827" t="s">
        <v>43</v>
      </c>
      <c r="B1827" t="s">
        <v>97</v>
      </c>
      <c r="C1827" s="4">
        <v>9.5772609939514419E-2</v>
      </c>
      <c r="D1827" s="4">
        <v>9.5772609939514419E-2</v>
      </c>
      <c r="E1827" s="4">
        <v>9.5772609939514419E-2</v>
      </c>
      <c r="F1827" s="4">
        <v>9.5772609939514419E-2</v>
      </c>
      <c r="G1827" s="4">
        <v>9.5772609939514419E-2</v>
      </c>
      <c r="H1827" s="4">
        <v>9.5772609939514419E-2</v>
      </c>
      <c r="I1827" s="4">
        <v>9.5772609939514419E-2</v>
      </c>
      <c r="J1827" s="4">
        <v>9.5772609939514419E-2</v>
      </c>
      <c r="K1827" s="4">
        <v>9.5772609939514419E-2</v>
      </c>
      <c r="L1827" s="4">
        <v>9.5772609939514419E-2</v>
      </c>
      <c r="M1827" s="4">
        <v>9.5772609939514419E-2</v>
      </c>
      <c r="Q1827" t="s">
        <v>278</v>
      </c>
    </row>
    <row r="1828" spans="1:17" x14ac:dyDescent="0.25">
      <c r="A1828" t="s">
        <v>37</v>
      </c>
      <c r="B1828" t="s">
        <v>97</v>
      </c>
      <c r="C1828" s="4">
        <v>2.3293203933848081E-2</v>
      </c>
      <c r="D1828" s="4">
        <v>2.3293203933848081E-2</v>
      </c>
      <c r="E1828" s="4">
        <v>2.3293203933848081E-2</v>
      </c>
      <c r="F1828" s="4">
        <v>2.3293203933848081E-2</v>
      </c>
      <c r="G1828" s="4">
        <v>2.3293203933848081E-2</v>
      </c>
      <c r="H1828" s="4">
        <v>2.3293203933848081E-2</v>
      </c>
      <c r="I1828" s="4">
        <v>2.3293203933848081E-2</v>
      </c>
      <c r="J1828" s="4">
        <v>2.3293203933848081E-2</v>
      </c>
      <c r="K1828" s="4">
        <v>2.3293203933848081E-2</v>
      </c>
      <c r="L1828" s="4">
        <v>2.3293203933848081E-2</v>
      </c>
      <c r="M1828" s="4">
        <v>2.3293203933848081E-2</v>
      </c>
      <c r="Q1828" t="s">
        <v>278</v>
      </c>
    </row>
    <row r="1829" spans="1:17" x14ac:dyDescent="0.25">
      <c r="A1829" t="s">
        <v>45</v>
      </c>
      <c r="B1829" t="s">
        <v>97</v>
      </c>
      <c r="C1829" s="4">
        <v>0.40734067835785948</v>
      </c>
      <c r="D1829" s="4">
        <v>0.40734067835785948</v>
      </c>
      <c r="E1829" s="4">
        <v>0.40734067835785948</v>
      </c>
      <c r="F1829" s="4">
        <v>0.40734067835785948</v>
      </c>
      <c r="G1829" s="4">
        <v>0.40734067835785948</v>
      </c>
      <c r="H1829" s="4">
        <v>0.40734067835785948</v>
      </c>
      <c r="I1829" s="4">
        <v>0.40734067835785948</v>
      </c>
      <c r="J1829" s="4">
        <v>0.40734067835785948</v>
      </c>
      <c r="K1829" s="4">
        <v>0.40734067835785948</v>
      </c>
      <c r="L1829" s="4">
        <v>0.40734067835785948</v>
      </c>
      <c r="M1829" s="4">
        <v>0.40734067835785948</v>
      </c>
      <c r="Q1829" t="s">
        <v>278</v>
      </c>
    </row>
    <row r="1830" spans="1:17" x14ac:dyDescent="0.25">
      <c r="A1830" t="s">
        <v>35</v>
      </c>
      <c r="B1830" t="s">
        <v>97</v>
      </c>
      <c r="C1830" s="4">
        <v>0.1225049873039866</v>
      </c>
      <c r="D1830" s="4">
        <v>0.1225049873039866</v>
      </c>
      <c r="E1830" s="4">
        <v>0.1225049873039866</v>
      </c>
      <c r="F1830" s="4">
        <v>0.1225049873039866</v>
      </c>
      <c r="G1830" s="4">
        <v>0.1225049873039866</v>
      </c>
      <c r="H1830" s="4">
        <v>0.1225049873039866</v>
      </c>
      <c r="I1830" s="4">
        <v>0.1225049873039866</v>
      </c>
      <c r="J1830" s="4">
        <v>0.1225049873039866</v>
      </c>
      <c r="K1830" s="4">
        <v>0.1225049873039866</v>
      </c>
      <c r="L1830" s="4">
        <v>0.1225049873039866</v>
      </c>
      <c r="M1830" s="4">
        <v>0.1225049873039866</v>
      </c>
      <c r="Q1830" t="s">
        <v>278</v>
      </c>
    </row>
    <row r="1831" spans="1:17" x14ac:dyDescent="0.25">
      <c r="A1831" t="s">
        <v>36</v>
      </c>
      <c r="B1831" t="s">
        <v>97</v>
      </c>
      <c r="C1831" s="4">
        <v>1.6721667016428202E-2</v>
      </c>
      <c r="D1831" s="4">
        <v>1.6721667016428202E-2</v>
      </c>
      <c r="E1831" s="4">
        <v>1.6721667016428202E-2</v>
      </c>
      <c r="F1831" s="4">
        <v>1.6721667016428202E-2</v>
      </c>
      <c r="G1831" s="4">
        <v>1.6721667016428202E-2</v>
      </c>
      <c r="H1831" s="4">
        <v>1.6721667016428202E-2</v>
      </c>
      <c r="I1831" s="4">
        <v>1.6721667016428202E-2</v>
      </c>
      <c r="J1831" s="4">
        <v>1.6721667016428202E-2</v>
      </c>
      <c r="K1831" s="4">
        <v>1.6721667016428202E-2</v>
      </c>
      <c r="L1831" s="4">
        <v>1.6721667016428202E-2</v>
      </c>
      <c r="M1831" s="4">
        <v>1.6721667016428202E-2</v>
      </c>
      <c r="Q1831" t="s">
        <v>278</v>
      </c>
    </row>
    <row r="1832" spans="1:17" x14ac:dyDescent="0.25">
      <c r="A1832" t="s">
        <v>48</v>
      </c>
      <c r="B1832" t="s">
        <v>97</v>
      </c>
      <c r="C1832" s="4">
        <v>1</v>
      </c>
      <c r="D1832" s="4">
        <v>1</v>
      </c>
      <c r="E1832" s="4">
        <v>1</v>
      </c>
      <c r="F1832" s="4">
        <v>1</v>
      </c>
      <c r="G1832" s="4">
        <v>1</v>
      </c>
      <c r="H1832" s="4">
        <v>1</v>
      </c>
      <c r="I1832" s="4">
        <v>1</v>
      </c>
      <c r="J1832" s="4">
        <v>1</v>
      </c>
      <c r="K1832" s="4">
        <v>1</v>
      </c>
      <c r="L1832" s="4">
        <v>1</v>
      </c>
      <c r="M1832" s="4">
        <v>1</v>
      </c>
      <c r="Q1832" t="s">
        <v>278</v>
      </c>
    </row>
    <row r="1833" spans="1:17" x14ac:dyDescent="0.25">
      <c r="A1833" t="s">
        <v>41</v>
      </c>
      <c r="B1833" t="s">
        <v>97</v>
      </c>
      <c r="C1833" s="4">
        <v>3.1062387706510469E-2</v>
      </c>
      <c r="D1833" s="4">
        <v>3.1062387706510469E-2</v>
      </c>
      <c r="E1833" s="4">
        <v>3.1062387706510469E-2</v>
      </c>
      <c r="F1833" s="4">
        <v>3.1062387706510469E-2</v>
      </c>
      <c r="G1833" s="4">
        <v>3.1062387706510469E-2</v>
      </c>
      <c r="H1833" s="4">
        <v>3.1062387706510469E-2</v>
      </c>
      <c r="I1833" s="4">
        <v>3.1062387706510469E-2</v>
      </c>
      <c r="J1833" s="4">
        <v>3.1062387706510469E-2</v>
      </c>
      <c r="K1833" s="4">
        <v>3.1062387706510469E-2</v>
      </c>
      <c r="L1833" s="4">
        <v>3.1062387706510469E-2</v>
      </c>
      <c r="M1833" s="4">
        <v>3.1062387706510469E-2</v>
      </c>
      <c r="Q1833" t="s">
        <v>278</v>
      </c>
    </row>
    <row r="1834" spans="1:17" x14ac:dyDescent="0.25">
      <c r="A1834" t="s">
        <v>40</v>
      </c>
      <c r="B1834" t="s">
        <v>98</v>
      </c>
      <c r="C1834" s="4">
        <v>0.10781755675728261</v>
      </c>
      <c r="D1834" s="4">
        <v>0.10781755675728261</v>
      </c>
      <c r="E1834" s="4">
        <v>0.10781755675728261</v>
      </c>
      <c r="F1834" s="4">
        <v>0.10781755675728261</v>
      </c>
      <c r="G1834" s="4">
        <v>0.10781755675728261</v>
      </c>
      <c r="H1834" s="4">
        <v>0.10781755675728261</v>
      </c>
      <c r="I1834" s="4">
        <v>0.10781755675728261</v>
      </c>
      <c r="J1834" s="4">
        <v>0.10781755675728261</v>
      </c>
      <c r="K1834" s="4">
        <v>0.10781755675728261</v>
      </c>
      <c r="L1834" s="4">
        <v>0.10781755675728261</v>
      </c>
      <c r="M1834" s="4">
        <v>0.10781755675728261</v>
      </c>
      <c r="Q1834" t="s">
        <v>278</v>
      </c>
    </row>
    <row r="1835" spans="1:17" x14ac:dyDescent="0.25">
      <c r="A1835" t="s">
        <v>35</v>
      </c>
      <c r="B1835" t="s">
        <v>98</v>
      </c>
      <c r="C1835" s="4">
        <v>2.4023441473603911E-3</v>
      </c>
      <c r="D1835" s="4">
        <v>2.4023441473603911E-3</v>
      </c>
      <c r="E1835" s="4">
        <v>2.4023441473603911E-3</v>
      </c>
      <c r="F1835" s="4">
        <v>2.4023441473603911E-3</v>
      </c>
      <c r="G1835" s="4">
        <v>2.4023441473603911E-3</v>
      </c>
      <c r="H1835" s="4">
        <v>2.4023441473603911E-3</v>
      </c>
      <c r="I1835" s="4">
        <v>2.4023441473603911E-3</v>
      </c>
      <c r="J1835" s="4">
        <v>2.4023441473603911E-3</v>
      </c>
      <c r="K1835" s="4">
        <v>2.4023441473603911E-3</v>
      </c>
      <c r="L1835" s="4">
        <v>2.4023441473603911E-3</v>
      </c>
      <c r="M1835" s="4">
        <v>2.4023441473603911E-3</v>
      </c>
      <c r="Q1835" t="s">
        <v>278</v>
      </c>
    </row>
    <row r="1836" spans="1:17" x14ac:dyDescent="0.25">
      <c r="A1836" t="s">
        <v>34</v>
      </c>
      <c r="B1836" t="s">
        <v>99</v>
      </c>
      <c r="C1836" s="4">
        <v>1.846415781537255E-3</v>
      </c>
      <c r="D1836" s="4">
        <v>1.846415781537255E-3</v>
      </c>
      <c r="E1836" s="4">
        <v>1.846415781537255E-3</v>
      </c>
      <c r="F1836" s="4">
        <v>1.846415781537255E-3</v>
      </c>
      <c r="G1836" s="4">
        <v>1.846415781537255E-3</v>
      </c>
      <c r="H1836" s="4">
        <v>1.846415781537255E-3</v>
      </c>
      <c r="I1836" s="4">
        <v>1.846415781537255E-3</v>
      </c>
      <c r="J1836" s="4">
        <v>1.846415781537255E-3</v>
      </c>
      <c r="K1836" s="4">
        <v>1.846415781537255E-3</v>
      </c>
      <c r="L1836" s="4">
        <v>1.846415781537255E-3</v>
      </c>
      <c r="M1836" s="4">
        <v>1.846415781537255E-3</v>
      </c>
      <c r="Q1836" t="s">
        <v>278</v>
      </c>
    </row>
    <row r="1837" spans="1:17" x14ac:dyDescent="0.25">
      <c r="A1837" t="s">
        <v>36</v>
      </c>
      <c r="B1837" t="s">
        <v>99</v>
      </c>
      <c r="C1837" s="4">
        <v>2.8798426528293019E-2</v>
      </c>
      <c r="D1837" s="4">
        <v>2.8798426528293019E-2</v>
      </c>
      <c r="E1837" s="4">
        <v>2.8798426528293019E-2</v>
      </c>
      <c r="F1837" s="4">
        <v>2.8798426528293019E-2</v>
      </c>
      <c r="G1837" s="4">
        <v>2.8798426528293019E-2</v>
      </c>
      <c r="H1837" s="4">
        <v>2.8798426528293019E-2</v>
      </c>
      <c r="I1837" s="4">
        <v>2.8798426528293019E-2</v>
      </c>
      <c r="J1837" s="4">
        <v>2.8798426528293019E-2</v>
      </c>
      <c r="K1837" s="4">
        <v>2.8798426528293019E-2</v>
      </c>
      <c r="L1837" s="4">
        <v>2.8798426528293019E-2</v>
      </c>
      <c r="M1837" s="4">
        <v>2.8798426528293019E-2</v>
      </c>
      <c r="Q1837" t="s">
        <v>278</v>
      </c>
    </row>
    <row r="1838" spans="1:17" x14ac:dyDescent="0.25">
      <c r="A1838" t="s">
        <v>35</v>
      </c>
      <c r="B1838" t="s">
        <v>182</v>
      </c>
      <c r="C1838" s="4">
        <v>3.3933111081465517E-2</v>
      </c>
      <c r="D1838" s="4">
        <v>3.3933111081465517E-2</v>
      </c>
      <c r="E1838" s="4">
        <v>3.3933111081465517E-2</v>
      </c>
      <c r="F1838" s="4">
        <v>3.3933111081465517E-2</v>
      </c>
      <c r="G1838" s="4">
        <v>3.3933111081465517E-2</v>
      </c>
      <c r="H1838" s="4">
        <v>3.3933111081465517E-2</v>
      </c>
      <c r="I1838" s="4">
        <v>3.3933111081465517E-2</v>
      </c>
      <c r="J1838" s="4">
        <v>3.3933111081465517E-2</v>
      </c>
      <c r="K1838" s="4">
        <v>3.3933111081465517E-2</v>
      </c>
      <c r="L1838" s="4">
        <v>3.3933111081465517E-2</v>
      </c>
      <c r="M1838" s="4">
        <v>3.3933111081465517E-2</v>
      </c>
      <c r="Q1838" t="s">
        <v>278</v>
      </c>
    </row>
    <row r="1839" spans="1:17" x14ac:dyDescent="0.25">
      <c r="A1839" t="s">
        <v>43</v>
      </c>
      <c r="B1839" t="s">
        <v>119</v>
      </c>
      <c r="C1839" s="4">
        <v>0.20487776558433449</v>
      </c>
      <c r="D1839" s="4">
        <v>0.20487776558433449</v>
      </c>
      <c r="E1839" s="4">
        <v>0.20487776558433449</v>
      </c>
      <c r="F1839" s="4">
        <v>0.20487776558433449</v>
      </c>
      <c r="G1839" s="4">
        <v>0.20487776558433449</v>
      </c>
      <c r="H1839" s="4">
        <v>0.20487776558433449</v>
      </c>
      <c r="I1839" s="4">
        <v>0.20487776558433449</v>
      </c>
      <c r="J1839" s="4">
        <v>0.20487776558433449</v>
      </c>
      <c r="K1839" s="4">
        <v>0.20487776558433449</v>
      </c>
      <c r="L1839" s="4">
        <v>0.20487776558433449</v>
      </c>
      <c r="M1839" s="4">
        <v>0.20487776558433449</v>
      </c>
      <c r="Q1839" t="s">
        <v>278</v>
      </c>
    </row>
    <row r="1840" spans="1:17" x14ac:dyDescent="0.25">
      <c r="A1840" t="s">
        <v>40</v>
      </c>
      <c r="B1840" t="s">
        <v>119</v>
      </c>
      <c r="C1840" s="4">
        <v>0.25496922625262092</v>
      </c>
      <c r="D1840" s="4">
        <v>0.25496922625262092</v>
      </c>
      <c r="E1840" s="4">
        <v>0.25496922625262092</v>
      </c>
      <c r="F1840" s="4">
        <v>0.25496922625262092</v>
      </c>
      <c r="G1840" s="4">
        <v>0.25496922625262092</v>
      </c>
      <c r="H1840" s="4">
        <v>0.25496922625262092</v>
      </c>
      <c r="I1840" s="4">
        <v>0.25496922625262092</v>
      </c>
      <c r="J1840" s="4">
        <v>0.25496922625262092</v>
      </c>
      <c r="K1840" s="4">
        <v>0.25496922625262092</v>
      </c>
      <c r="L1840" s="4">
        <v>0.25496922625262092</v>
      </c>
      <c r="M1840" s="4">
        <v>0.25496922625262092</v>
      </c>
      <c r="Q1840" t="s">
        <v>278</v>
      </c>
    </row>
    <row r="1841" spans="1:17" x14ac:dyDescent="0.25">
      <c r="A1841" t="s">
        <v>46</v>
      </c>
      <c r="B1841" t="s">
        <v>119</v>
      </c>
      <c r="C1841" s="4">
        <v>0.219612152682096</v>
      </c>
      <c r="D1841" s="4">
        <v>0.219612152682096</v>
      </c>
      <c r="E1841" s="4">
        <v>0.219612152682096</v>
      </c>
      <c r="F1841" s="4">
        <v>0.219612152682096</v>
      </c>
      <c r="G1841" s="4">
        <v>0.219612152682096</v>
      </c>
      <c r="H1841" s="4">
        <v>0.219612152682096</v>
      </c>
      <c r="I1841" s="4">
        <v>0.219612152682096</v>
      </c>
      <c r="J1841" s="4">
        <v>0.219612152682096</v>
      </c>
      <c r="K1841" s="4">
        <v>0.219612152682096</v>
      </c>
      <c r="L1841" s="4">
        <v>0.219612152682096</v>
      </c>
      <c r="M1841" s="4">
        <v>0.219612152682096</v>
      </c>
      <c r="Q1841" t="s">
        <v>278</v>
      </c>
    </row>
    <row r="1842" spans="1:17" x14ac:dyDescent="0.25">
      <c r="A1842" t="s">
        <v>34</v>
      </c>
      <c r="B1842" t="s">
        <v>102</v>
      </c>
      <c r="C1842" s="4">
        <v>0.40698728968920339</v>
      </c>
      <c r="D1842" s="4">
        <v>0.40698728968920339</v>
      </c>
      <c r="E1842" s="4">
        <v>0.40698728968920339</v>
      </c>
      <c r="F1842" s="4">
        <v>0.40698728968920339</v>
      </c>
      <c r="G1842" s="4">
        <v>0.40698728968920339</v>
      </c>
      <c r="H1842" s="4">
        <v>0.40698728968920339</v>
      </c>
      <c r="I1842" s="4">
        <v>0.40698728968920339</v>
      </c>
      <c r="J1842" s="4">
        <v>0.40698728968920339</v>
      </c>
      <c r="K1842" s="4">
        <v>0.40698728968920339</v>
      </c>
      <c r="L1842" s="4">
        <v>0.40698728968920339</v>
      </c>
      <c r="M1842" s="4">
        <v>0.40698728968920339</v>
      </c>
      <c r="Q1842" t="s">
        <v>278</v>
      </c>
    </row>
    <row r="1843" spans="1:17" x14ac:dyDescent="0.25">
      <c r="A1843" t="s">
        <v>49</v>
      </c>
      <c r="B1843" t="s">
        <v>102</v>
      </c>
      <c r="C1843" s="4">
        <v>0.96338254602901152</v>
      </c>
      <c r="D1843" s="4">
        <v>0.96338254602901152</v>
      </c>
      <c r="E1843" s="4">
        <v>0.96338254602901152</v>
      </c>
      <c r="F1843" s="4">
        <v>0.96338254602901152</v>
      </c>
      <c r="G1843" s="4">
        <v>0.96338254602901152</v>
      </c>
      <c r="H1843" s="4">
        <v>0.96338254602901152</v>
      </c>
      <c r="I1843" s="4">
        <v>0.96338254602901152</v>
      </c>
      <c r="J1843" s="4">
        <v>0.96338254602901152</v>
      </c>
      <c r="K1843" s="4">
        <v>0.96338254602901152</v>
      </c>
      <c r="L1843" s="4">
        <v>0.96338254602901152</v>
      </c>
      <c r="M1843" s="4">
        <v>0.96338254602901152</v>
      </c>
      <c r="Q1843" t="s">
        <v>278</v>
      </c>
    </row>
    <row r="1844" spans="1:17" x14ac:dyDescent="0.25">
      <c r="A1844" t="s">
        <v>35</v>
      </c>
      <c r="B1844" t="s">
        <v>102</v>
      </c>
      <c r="C1844" s="4">
        <v>4.8052663587812398E-2</v>
      </c>
      <c r="D1844" s="4">
        <v>4.8052663587812398E-2</v>
      </c>
      <c r="E1844" s="4">
        <v>4.8052663587812398E-2</v>
      </c>
      <c r="F1844" s="4">
        <v>4.8052663587812398E-2</v>
      </c>
      <c r="G1844" s="4">
        <v>4.8052663587812398E-2</v>
      </c>
      <c r="H1844" s="4">
        <v>4.8052663587812398E-2</v>
      </c>
      <c r="I1844" s="4">
        <v>4.8052663587812398E-2</v>
      </c>
      <c r="J1844" s="4">
        <v>4.8052663587812398E-2</v>
      </c>
      <c r="K1844" s="4">
        <v>4.8052663587812398E-2</v>
      </c>
      <c r="L1844" s="4">
        <v>4.8052663587812398E-2</v>
      </c>
      <c r="M1844" s="4">
        <v>4.8052663587812398E-2</v>
      </c>
      <c r="Q1844" t="s">
        <v>278</v>
      </c>
    </row>
    <row r="1845" spans="1:17" x14ac:dyDescent="0.25">
      <c r="A1845" t="s">
        <v>36</v>
      </c>
      <c r="B1845" t="s">
        <v>102</v>
      </c>
      <c r="C1845" s="4">
        <v>5.2578587886805833E-2</v>
      </c>
      <c r="D1845" s="4">
        <v>5.2578587886805833E-2</v>
      </c>
      <c r="E1845" s="4">
        <v>5.2578587886805833E-2</v>
      </c>
      <c r="F1845" s="4">
        <v>5.2578587886805833E-2</v>
      </c>
      <c r="G1845" s="4">
        <v>5.2578587886805833E-2</v>
      </c>
      <c r="H1845" s="4">
        <v>5.2578587886805833E-2</v>
      </c>
      <c r="I1845" s="4">
        <v>5.2578587886805833E-2</v>
      </c>
      <c r="J1845" s="4">
        <v>5.2578587886805833E-2</v>
      </c>
      <c r="K1845" s="4">
        <v>5.2578587886805833E-2</v>
      </c>
      <c r="L1845" s="4">
        <v>5.2578587886805833E-2</v>
      </c>
      <c r="M1845" s="4">
        <v>5.2578587886805833E-2</v>
      </c>
      <c r="Q1845" t="s">
        <v>278</v>
      </c>
    </row>
    <row r="1846" spans="1:17" x14ac:dyDescent="0.25">
      <c r="A1846" t="s">
        <v>43</v>
      </c>
      <c r="B1846" t="s">
        <v>148</v>
      </c>
      <c r="C1846" s="4">
        <v>0.16408917243497889</v>
      </c>
      <c r="D1846" s="4">
        <v>0.16408917243497889</v>
      </c>
      <c r="E1846" s="4">
        <v>0.16408917243497889</v>
      </c>
      <c r="F1846" s="4">
        <v>0.16408917243497889</v>
      </c>
      <c r="G1846" s="4">
        <v>0.16408917243497889</v>
      </c>
      <c r="H1846" s="4">
        <v>0.16408917243497889</v>
      </c>
      <c r="I1846" s="4">
        <v>0.16408917243497889</v>
      </c>
      <c r="J1846" s="4">
        <v>0.16408917243497889</v>
      </c>
      <c r="K1846" s="4">
        <v>0.16408917243497889</v>
      </c>
      <c r="L1846" s="4">
        <v>0.16408917243497889</v>
      </c>
      <c r="M1846" s="4">
        <v>0.16408917243497889</v>
      </c>
      <c r="Q1846" t="s">
        <v>278</v>
      </c>
    </row>
    <row r="1847" spans="1:17" x14ac:dyDescent="0.25">
      <c r="A1847" t="s">
        <v>35</v>
      </c>
      <c r="B1847" t="s">
        <v>148</v>
      </c>
      <c r="C1847" s="4">
        <v>7.3571789512911961E-2</v>
      </c>
      <c r="D1847" s="4">
        <v>7.3571789512911961E-2</v>
      </c>
      <c r="E1847" s="4">
        <v>7.3571789512911961E-2</v>
      </c>
      <c r="F1847" s="4">
        <v>7.3571789512911961E-2</v>
      </c>
      <c r="G1847" s="4">
        <v>7.3571789512911961E-2</v>
      </c>
      <c r="H1847" s="4">
        <v>7.3571789512911961E-2</v>
      </c>
      <c r="I1847" s="4">
        <v>7.3571789512911961E-2</v>
      </c>
      <c r="J1847" s="4">
        <v>7.3571789512911961E-2</v>
      </c>
      <c r="K1847" s="4">
        <v>7.3571789512911961E-2</v>
      </c>
      <c r="L1847" s="4">
        <v>7.3571789512911961E-2</v>
      </c>
      <c r="M1847" s="4">
        <v>7.3571789512911961E-2</v>
      </c>
      <c r="Q1847" t="s">
        <v>278</v>
      </c>
    </row>
    <row r="1848" spans="1:17" x14ac:dyDescent="0.25">
      <c r="A1848" t="s">
        <v>46</v>
      </c>
      <c r="B1848" t="s">
        <v>148</v>
      </c>
      <c r="C1848" s="4">
        <v>1.3944176812161981E-2</v>
      </c>
      <c r="D1848" s="4">
        <v>1.3944176812161981E-2</v>
      </c>
      <c r="E1848" s="4">
        <v>1.3944176812161981E-2</v>
      </c>
      <c r="F1848" s="4">
        <v>1.3944176812161981E-2</v>
      </c>
      <c r="G1848" s="4">
        <v>1.3944176812161981E-2</v>
      </c>
      <c r="H1848" s="4">
        <v>1.3944176812161981E-2</v>
      </c>
      <c r="I1848" s="4">
        <v>1.3944176812161981E-2</v>
      </c>
      <c r="J1848" s="4">
        <v>1.3944176812161981E-2</v>
      </c>
      <c r="K1848" s="4">
        <v>1.3944176812161981E-2</v>
      </c>
      <c r="L1848" s="4">
        <v>1.3944176812161981E-2</v>
      </c>
      <c r="M1848" s="4">
        <v>1.3944176812161981E-2</v>
      </c>
      <c r="Q1848" t="s">
        <v>278</v>
      </c>
    </row>
    <row r="1849" spans="1:17" x14ac:dyDescent="0.25">
      <c r="A1849" t="s">
        <v>42</v>
      </c>
      <c r="B1849" t="s">
        <v>149</v>
      </c>
      <c r="C1849" s="4">
        <v>8.8443704250103954E-4</v>
      </c>
      <c r="D1849" s="4">
        <v>8.8443704250103954E-4</v>
      </c>
      <c r="E1849" s="4">
        <v>8.8443704250103954E-4</v>
      </c>
      <c r="F1849" s="4">
        <v>8.8443704250103954E-4</v>
      </c>
      <c r="G1849" s="4">
        <v>8.8443704250103954E-4</v>
      </c>
      <c r="H1849" s="4">
        <v>8.8443704250103954E-4</v>
      </c>
      <c r="I1849" s="4">
        <v>8.8443704250103954E-4</v>
      </c>
      <c r="J1849" s="4">
        <v>8.8443704250103954E-4</v>
      </c>
      <c r="K1849" s="4">
        <v>8.8443704250103954E-4</v>
      </c>
      <c r="L1849" s="4">
        <v>8.8443704250103954E-4</v>
      </c>
      <c r="M1849" s="4">
        <v>8.8443704250103954E-4</v>
      </c>
      <c r="Q1849" t="s">
        <v>278</v>
      </c>
    </row>
    <row r="1850" spans="1:17" x14ac:dyDescent="0.25">
      <c r="A1850" t="s">
        <v>40</v>
      </c>
      <c r="B1850" t="s">
        <v>230</v>
      </c>
      <c r="C1850" s="4">
        <v>8.3730997666997299E-3</v>
      </c>
      <c r="D1850" s="4">
        <v>8.3730997666997299E-3</v>
      </c>
      <c r="E1850" s="4">
        <v>8.3730997666997299E-3</v>
      </c>
      <c r="F1850" s="4">
        <v>8.3730997666997299E-3</v>
      </c>
      <c r="G1850" s="4">
        <v>8.3730997666997299E-3</v>
      </c>
      <c r="H1850" s="4">
        <v>8.3730997666997299E-3</v>
      </c>
      <c r="I1850" s="4">
        <v>8.3730997666997299E-3</v>
      </c>
      <c r="J1850" s="4">
        <v>8.3730997666997299E-3</v>
      </c>
      <c r="K1850" s="4">
        <v>8.3730997666997299E-3</v>
      </c>
      <c r="L1850" s="4">
        <v>8.3730997666997299E-3</v>
      </c>
      <c r="M1850" s="4">
        <v>8.3730997666997299E-3</v>
      </c>
      <c r="Q1850" t="s">
        <v>278</v>
      </c>
    </row>
    <row r="1851" spans="1:17" x14ac:dyDescent="0.25">
      <c r="A1851" t="s">
        <v>43</v>
      </c>
      <c r="B1851" t="s">
        <v>150</v>
      </c>
      <c r="C1851" s="4">
        <v>3.5781608497286149E-2</v>
      </c>
      <c r="D1851" s="4">
        <v>3.5781608497286149E-2</v>
      </c>
      <c r="E1851" s="4">
        <v>3.5781608497286149E-2</v>
      </c>
      <c r="F1851" s="4">
        <v>3.5781608497286149E-2</v>
      </c>
      <c r="G1851" s="4">
        <v>3.5781608497286149E-2</v>
      </c>
      <c r="H1851" s="4">
        <v>3.5781608497286149E-2</v>
      </c>
      <c r="I1851" s="4">
        <v>3.5781608497286149E-2</v>
      </c>
      <c r="J1851" s="4">
        <v>3.5781608497286149E-2</v>
      </c>
      <c r="K1851" s="4">
        <v>3.5781608497286149E-2</v>
      </c>
      <c r="L1851" s="4">
        <v>3.5781608497286149E-2</v>
      </c>
      <c r="M1851" s="4">
        <v>3.5781608497286149E-2</v>
      </c>
      <c r="Q1851" t="s">
        <v>278</v>
      </c>
    </row>
    <row r="1852" spans="1:17" x14ac:dyDescent="0.25">
      <c r="A1852" t="s">
        <v>35</v>
      </c>
      <c r="B1852" t="s">
        <v>150</v>
      </c>
      <c r="C1852" s="4">
        <v>5.8035754838677713E-2</v>
      </c>
      <c r="D1852" s="4">
        <v>5.8035754838677713E-2</v>
      </c>
      <c r="E1852" s="4">
        <v>5.8035754838677713E-2</v>
      </c>
      <c r="F1852" s="4">
        <v>5.8035754838677713E-2</v>
      </c>
      <c r="G1852" s="4">
        <v>5.8035754838677713E-2</v>
      </c>
      <c r="H1852" s="4">
        <v>5.8035754838677713E-2</v>
      </c>
      <c r="I1852" s="4">
        <v>5.8035754838677713E-2</v>
      </c>
      <c r="J1852" s="4">
        <v>5.8035754838677713E-2</v>
      </c>
      <c r="K1852" s="4">
        <v>5.8035754838677713E-2</v>
      </c>
      <c r="L1852" s="4">
        <v>5.8035754838677713E-2</v>
      </c>
      <c r="M1852" s="4">
        <v>5.8035754838677713E-2</v>
      </c>
      <c r="Q1852" t="s">
        <v>278</v>
      </c>
    </row>
    <row r="1853" spans="1:17" x14ac:dyDescent="0.25">
      <c r="A1853" t="s">
        <v>40</v>
      </c>
      <c r="B1853" t="s">
        <v>174</v>
      </c>
      <c r="C1853" s="4">
        <v>5.3920156761104343E-2</v>
      </c>
      <c r="D1853" s="4">
        <v>5.3920156761104343E-2</v>
      </c>
      <c r="E1853" s="4">
        <v>5.3920156761104343E-2</v>
      </c>
      <c r="F1853" s="4">
        <v>5.3920156761104343E-2</v>
      </c>
      <c r="G1853" s="4">
        <v>5.3920156761104343E-2</v>
      </c>
      <c r="H1853" s="4">
        <v>5.3920156761104343E-2</v>
      </c>
      <c r="I1853" s="4">
        <v>5.3920156761104343E-2</v>
      </c>
      <c r="J1853" s="4">
        <v>5.3920156761104343E-2</v>
      </c>
      <c r="K1853" s="4">
        <v>5.3920156761104343E-2</v>
      </c>
      <c r="L1853" s="4">
        <v>5.3920156761104343E-2</v>
      </c>
      <c r="M1853" s="4">
        <v>5.3920156761104343E-2</v>
      </c>
      <c r="Q1853" t="s">
        <v>278</v>
      </c>
    </row>
    <row r="1854" spans="1:17" x14ac:dyDescent="0.25">
      <c r="A1854" t="s">
        <v>40</v>
      </c>
      <c r="B1854" t="s">
        <v>162</v>
      </c>
      <c r="C1854" s="4">
        <v>0.2118362972137729</v>
      </c>
      <c r="D1854" s="4">
        <v>0.2118362972137729</v>
      </c>
      <c r="E1854" s="4">
        <v>0.2118362972137729</v>
      </c>
      <c r="F1854" s="4">
        <v>0.2118362972137729</v>
      </c>
      <c r="G1854" s="4">
        <v>0.2118362972137729</v>
      </c>
      <c r="H1854" s="4">
        <v>0.2118362972137729</v>
      </c>
      <c r="I1854" s="4">
        <v>0.2118362972137729</v>
      </c>
      <c r="J1854" s="4">
        <v>0.2118362972137729</v>
      </c>
      <c r="K1854" s="4">
        <v>0.2118362972137729</v>
      </c>
      <c r="L1854" s="4">
        <v>0.2118362972137729</v>
      </c>
      <c r="M1854" s="4">
        <v>0.2118362972137729</v>
      </c>
      <c r="Q1854" t="s">
        <v>278</v>
      </c>
    </row>
    <row r="1855" spans="1:17" x14ac:dyDescent="0.25">
      <c r="A1855" t="s">
        <v>40</v>
      </c>
      <c r="B1855" t="s">
        <v>176</v>
      </c>
      <c r="C1855" s="4">
        <v>1.1801901492739551E-2</v>
      </c>
      <c r="D1855" s="4">
        <v>1.1801901492739551E-2</v>
      </c>
      <c r="E1855" s="4">
        <v>1.1801901492739551E-2</v>
      </c>
      <c r="F1855" s="4">
        <v>1.1801901492739551E-2</v>
      </c>
      <c r="G1855" s="4">
        <v>1.1801901492739551E-2</v>
      </c>
      <c r="H1855" s="4">
        <v>1.1801901492739551E-2</v>
      </c>
      <c r="I1855" s="4">
        <v>1.1801901492739551E-2</v>
      </c>
      <c r="J1855" s="4">
        <v>1.1801901492739551E-2</v>
      </c>
      <c r="K1855" s="4">
        <v>1.1801901492739551E-2</v>
      </c>
      <c r="L1855" s="4">
        <v>1.1801901492739551E-2</v>
      </c>
      <c r="M1855" s="4">
        <v>1.1801901492739551E-2</v>
      </c>
      <c r="Q1855" t="s">
        <v>278</v>
      </c>
    </row>
    <row r="1856" spans="1:17" x14ac:dyDescent="0.25">
      <c r="A1856" t="s">
        <v>36</v>
      </c>
      <c r="B1856" t="s">
        <v>176</v>
      </c>
      <c r="C1856" s="4">
        <v>3.0006102479479499E-5</v>
      </c>
      <c r="D1856" s="4">
        <v>3.0006102479479499E-5</v>
      </c>
      <c r="E1856" s="4">
        <v>3.0006102479479499E-5</v>
      </c>
      <c r="F1856" s="4">
        <v>3.0006102479479499E-5</v>
      </c>
      <c r="G1856" s="4">
        <v>3.0006102479479499E-5</v>
      </c>
      <c r="H1856" s="4">
        <v>3.0006102479479499E-5</v>
      </c>
      <c r="I1856" s="4">
        <v>3.0006102479479499E-5</v>
      </c>
      <c r="J1856" s="4">
        <v>3.0006102479479499E-5</v>
      </c>
      <c r="K1856" s="4">
        <v>3.0006102479479499E-5</v>
      </c>
      <c r="L1856" s="4">
        <v>3.0006102479479499E-5</v>
      </c>
      <c r="M1856" s="4">
        <v>3.0006102479479499E-5</v>
      </c>
      <c r="Q1856" t="s">
        <v>278</v>
      </c>
    </row>
    <row r="1857" spans="1:17" x14ac:dyDescent="0.25">
      <c r="A1857" t="s">
        <v>43</v>
      </c>
      <c r="B1857" t="s">
        <v>132</v>
      </c>
      <c r="C1857" s="4">
        <v>0.1588568078378973</v>
      </c>
      <c r="D1857" s="4">
        <v>0.1588568078378973</v>
      </c>
      <c r="E1857" s="4">
        <v>0.1588568078378973</v>
      </c>
      <c r="F1857" s="4">
        <v>0.1588568078378973</v>
      </c>
      <c r="G1857" s="4">
        <v>0.1588568078378973</v>
      </c>
      <c r="H1857" s="4">
        <v>0.1588568078378973</v>
      </c>
      <c r="I1857" s="4">
        <v>0.1588568078378973</v>
      </c>
      <c r="J1857" s="4">
        <v>0.1588568078378973</v>
      </c>
      <c r="K1857" s="4">
        <v>0.1588568078378973</v>
      </c>
      <c r="L1857" s="4">
        <v>0.1588568078378973</v>
      </c>
      <c r="M1857" s="4">
        <v>0.1588568078378973</v>
      </c>
      <c r="Q1857" t="s">
        <v>278</v>
      </c>
    </row>
    <row r="1858" spans="1:17" x14ac:dyDescent="0.25">
      <c r="A1858" t="s">
        <v>35</v>
      </c>
      <c r="B1858" t="s">
        <v>132</v>
      </c>
      <c r="C1858" s="4">
        <v>0.1106955139150905</v>
      </c>
      <c r="D1858" s="4">
        <v>0.1106955139150905</v>
      </c>
      <c r="E1858" s="4">
        <v>0.1106955139150905</v>
      </c>
      <c r="F1858" s="4">
        <v>0.1106955139150905</v>
      </c>
      <c r="G1858" s="4">
        <v>0.1106955139150905</v>
      </c>
      <c r="H1858" s="4">
        <v>0.1106955139150905</v>
      </c>
      <c r="I1858" s="4">
        <v>0.1106955139150905</v>
      </c>
      <c r="J1858" s="4">
        <v>0.1106955139150905</v>
      </c>
      <c r="K1858" s="4">
        <v>0.1106955139150905</v>
      </c>
      <c r="L1858" s="4">
        <v>0.1106955139150905</v>
      </c>
      <c r="M1858" s="4">
        <v>0.1106955139150905</v>
      </c>
      <c r="Q1858" t="s">
        <v>278</v>
      </c>
    </row>
    <row r="1859" spans="1:17" x14ac:dyDescent="0.25">
      <c r="A1859" t="s">
        <v>36</v>
      </c>
      <c r="B1859" t="s">
        <v>132</v>
      </c>
      <c r="C1859" s="4">
        <v>0.1130363323736025</v>
      </c>
      <c r="D1859" s="4">
        <v>0.1130363323736025</v>
      </c>
      <c r="E1859" s="4">
        <v>0.1130363323736025</v>
      </c>
      <c r="F1859" s="4">
        <v>0.1130363323736025</v>
      </c>
      <c r="G1859" s="4">
        <v>0.1130363323736025</v>
      </c>
      <c r="H1859" s="4">
        <v>0.1130363323736025</v>
      </c>
      <c r="I1859" s="4">
        <v>0.1130363323736025</v>
      </c>
      <c r="J1859" s="4">
        <v>0.1130363323736025</v>
      </c>
      <c r="K1859" s="4">
        <v>0.1130363323736025</v>
      </c>
      <c r="L1859" s="4">
        <v>0.1130363323736025</v>
      </c>
      <c r="M1859" s="4">
        <v>0.1130363323736025</v>
      </c>
      <c r="Q1859" t="s">
        <v>278</v>
      </c>
    </row>
    <row r="1860" spans="1:17" x14ac:dyDescent="0.25">
      <c r="A1860" t="s">
        <v>39</v>
      </c>
      <c r="B1860" t="s">
        <v>132</v>
      </c>
      <c r="C1860" s="4">
        <v>6.3261185269474857E-2</v>
      </c>
      <c r="D1860" s="4">
        <v>6.3261185269474857E-2</v>
      </c>
      <c r="E1860" s="4">
        <v>6.3261185269474857E-2</v>
      </c>
      <c r="F1860" s="4">
        <v>6.3261185269474857E-2</v>
      </c>
      <c r="G1860" s="4">
        <v>6.3261185269474857E-2</v>
      </c>
      <c r="H1860" s="4">
        <v>6.3261185269474857E-2</v>
      </c>
      <c r="I1860" s="4">
        <v>6.3261185269474857E-2</v>
      </c>
      <c r="J1860" s="4">
        <v>6.3261185269474857E-2</v>
      </c>
      <c r="K1860" s="4">
        <v>6.3261185269474857E-2</v>
      </c>
      <c r="L1860" s="4">
        <v>6.3261185269474857E-2</v>
      </c>
      <c r="M1860" s="4">
        <v>6.3261185269474857E-2</v>
      </c>
      <c r="Q1860" t="s">
        <v>278</v>
      </c>
    </row>
    <row r="1861" spans="1:17" x14ac:dyDescent="0.25">
      <c r="A1861" t="s">
        <v>43</v>
      </c>
      <c r="B1861" t="s">
        <v>151</v>
      </c>
      <c r="C1861" s="4">
        <v>6.101343876455552E-6</v>
      </c>
      <c r="D1861" s="4">
        <v>6.101343876455552E-6</v>
      </c>
      <c r="E1861" s="4">
        <v>6.101343876455552E-6</v>
      </c>
      <c r="F1861" s="4">
        <v>6.101343876455552E-6</v>
      </c>
      <c r="G1861" s="4">
        <v>6.101343876455552E-6</v>
      </c>
      <c r="H1861" s="4">
        <v>6.101343876455552E-6</v>
      </c>
      <c r="I1861" s="4">
        <v>6.101343876455552E-6</v>
      </c>
      <c r="J1861" s="4">
        <v>6.101343876455552E-6</v>
      </c>
      <c r="K1861" s="4">
        <v>6.101343876455552E-6</v>
      </c>
      <c r="L1861" s="4">
        <v>6.101343876455552E-6</v>
      </c>
      <c r="M1861" s="4">
        <v>6.101343876455552E-6</v>
      </c>
      <c r="Q1861" t="s">
        <v>278</v>
      </c>
    </row>
    <row r="1862" spans="1:17" x14ac:dyDescent="0.25">
      <c r="A1862" t="s">
        <v>36</v>
      </c>
      <c r="B1862" t="s">
        <v>151</v>
      </c>
      <c r="C1862" s="4">
        <v>3.0651930418913991E-2</v>
      </c>
      <c r="D1862" s="4">
        <v>3.0651930418913991E-2</v>
      </c>
      <c r="E1862" s="4">
        <v>3.0651930418913991E-2</v>
      </c>
      <c r="F1862" s="4">
        <v>3.0651930418913991E-2</v>
      </c>
      <c r="G1862" s="4">
        <v>3.0651930418913991E-2</v>
      </c>
      <c r="H1862" s="4">
        <v>3.0651930418913991E-2</v>
      </c>
      <c r="I1862" s="4">
        <v>3.0651930418913991E-2</v>
      </c>
      <c r="J1862" s="4">
        <v>3.0651930418913991E-2</v>
      </c>
      <c r="K1862" s="4">
        <v>3.0651930418913991E-2</v>
      </c>
      <c r="L1862" s="4">
        <v>3.0651930418913991E-2</v>
      </c>
      <c r="M1862" s="4">
        <v>3.0651930418913991E-2</v>
      </c>
      <c r="Q1862" t="s">
        <v>278</v>
      </c>
    </row>
    <row r="1863" spans="1:17" x14ac:dyDescent="0.25">
      <c r="A1863" t="s">
        <v>46</v>
      </c>
      <c r="B1863" t="s">
        <v>151</v>
      </c>
      <c r="C1863" s="4">
        <v>9.5709509596581685E-2</v>
      </c>
      <c r="D1863" s="4">
        <v>9.5709509596581685E-2</v>
      </c>
      <c r="E1863" s="4">
        <v>9.5709509596581685E-2</v>
      </c>
      <c r="F1863" s="4">
        <v>9.5709509596581685E-2</v>
      </c>
      <c r="G1863" s="4">
        <v>9.5709509596581685E-2</v>
      </c>
      <c r="H1863" s="4">
        <v>9.5709509596581685E-2</v>
      </c>
      <c r="I1863" s="4">
        <v>9.5709509596581685E-2</v>
      </c>
      <c r="J1863" s="4">
        <v>9.5709509596581685E-2</v>
      </c>
      <c r="K1863" s="4">
        <v>9.5709509596581685E-2</v>
      </c>
      <c r="L1863" s="4">
        <v>9.5709509596581685E-2</v>
      </c>
      <c r="M1863" s="4">
        <v>9.5709509596581685E-2</v>
      </c>
      <c r="Q1863" t="s">
        <v>278</v>
      </c>
    </row>
    <row r="1864" spans="1:17" x14ac:dyDescent="0.25">
      <c r="A1864" t="s">
        <v>34</v>
      </c>
      <c r="B1864" t="s">
        <v>107</v>
      </c>
      <c r="C1864" s="4">
        <v>8.9126582095592363E-2</v>
      </c>
      <c r="D1864" s="4">
        <v>8.9126582095592363E-2</v>
      </c>
      <c r="E1864" s="4">
        <v>8.9126582095592363E-2</v>
      </c>
      <c r="F1864" s="4">
        <v>8.9126582095592363E-2</v>
      </c>
      <c r="G1864" s="4">
        <v>8.9126582095592363E-2</v>
      </c>
      <c r="H1864" s="4">
        <v>8.9126582095592363E-2</v>
      </c>
      <c r="I1864" s="4">
        <v>8.9126582095592363E-2</v>
      </c>
      <c r="J1864" s="4">
        <v>8.9126582095592363E-2</v>
      </c>
      <c r="K1864" s="4">
        <v>8.9126582095592363E-2</v>
      </c>
      <c r="L1864" s="4">
        <v>8.9126582095592363E-2</v>
      </c>
      <c r="M1864" s="4">
        <v>8.9126582095592363E-2</v>
      </c>
      <c r="Q1864" t="s">
        <v>278</v>
      </c>
    </row>
    <row r="1865" spans="1:17" x14ac:dyDescent="0.25">
      <c r="A1865" t="s">
        <v>43</v>
      </c>
      <c r="B1865" t="s">
        <v>107</v>
      </c>
      <c r="C1865" s="4">
        <v>0.1189762055908833</v>
      </c>
      <c r="D1865" s="4">
        <v>0.1189762055908833</v>
      </c>
      <c r="E1865" s="4">
        <v>0.1189762055908833</v>
      </c>
      <c r="F1865" s="4">
        <v>0.1189762055908833</v>
      </c>
      <c r="G1865" s="4">
        <v>0.1189762055908833</v>
      </c>
      <c r="H1865" s="4">
        <v>0.1189762055908833</v>
      </c>
      <c r="I1865" s="4">
        <v>0.1189762055908833</v>
      </c>
      <c r="J1865" s="4">
        <v>0.1189762055908833</v>
      </c>
      <c r="K1865" s="4">
        <v>0.1189762055908833</v>
      </c>
      <c r="L1865" s="4">
        <v>0.1189762055908833</v>
      </c>
      <c r="M1865" s="4">
        <v>0.1189762055908833</v>
      </c>
      <c r="Q1865" t="s">
        <v>278</v>
      </c>
    </row>
    <row r="1866" spans="1:17" x14ac:dyDescent="0.25">
      <c r="A1866" t="s">
        <v>37</v>
      </c>
      <c r="B1866" t="s">
        <v>107</v>
      </c>
      <c r="C1866" s="4">
        <v>0.15251764980453941</v>
      </c>
      <c r="D1866" s="4">
        <v>0.15251764980453941</v>
      </c>
      <c r="E1866" s="4">
        <v>0.15251764980453941</v>
      </c>
      <c r="F1866" s="4">
        <v>0.15251764980453941</v>
      </c>
      <c r="G1866" s="4">
        <v>0.15251764980453941</v>
      </c>
      <c r="H1866" s="4">
        <v>0.15251764980453941</v>
      </c>
      <c r="I1866" s="4">
        <v>0.15251764980453941</v>
      </c>
      <c r="J1866" s="4">
        <v>0.15251764980453941</v>
      </c>
      <c r="K1866" s="4">
        <v>0.15251764980453941</v>
      </c>
      <c r="L1866" s="4">
        <v>0.15251764980453941</v>
      </c>
      <c r="M1866" s="4">
        <v>0.15251764980453941</v>
      </c>
      <c r="Q1866" t="s">
        <v>278</v>
      </c>
    </row>
    <row r="1867" spans="1:17" x14ac:dyDescent="0.25">
      <c r="A1867" t="s">
        <v>40</v>
      </c>
      <c r="B1867" t="s">
        <v>107</v>
      </c>
      <c r="C1867" s="4">
        <v>1.7371576279460021E-2</v>
      </c>
      <c r="D1867" s="4">
        <v>1.7371576279460021E-2</v>
      </c>
      <c r="E1867" s="4">
        <v>1.7371576279460021E-2</v>
      </c>
      <c r="F1867" s="4">
        <v>1.7371576279460021E-2</v>
      </c>
      <c r="G1867" s="4">
        <v>1.7371576279460021E-2</v>
      </c>
      <c r="H1867" s="4">
        <v>1.7371576279460021E-2</v>
      </c>
      <c r="I1867" s="4">
        <v>1.7371576279460021E-2</v>
      </c>
      <c r="J1867" s="4">
        <v>1.7371576279460021E-2</v>
      </c>
      <c r="K1867" s="4">
        <v>1.7371576279460021E-2</v>
      </c>
      <c r="L1867" s="4">
        <v>1.7371576279460021E-2</v>
      </c>
      <c r="M1867" s="4">
        <v>1.7371576279460021E-2</v>
      </c>
      <c r="Q1867" t="s">
        <v>278</v>
      </c>
    </row>
    <row r="1868" spans="1:17" x14ac:dyDescent="0.25">
      <c r="A1868" t="s">
        <v>49</v>
      </c>
      <c r="B1868" t="s">
        <v>107</v>
      </c>
      <c r="C1868" s="4">
        <v>3.6617453970988513E-2</v>
      </c>
      <c r="D1868" s="4">
        <v>3.6617453970988513E-2</v>
      </c>
      <c r="E1868" s="4">
        <v>3.6617453970988513E-2</v>
      </c>
      <c r="F1868" s="4">
        <v>3.6617453970988513E-2</v>
      </c>
      <c r="G1868" s="4">
        <v>3.6617453970988513E-2</v>
      </c>
      <c r="H1868" s="4">
        <v>3.6617453970988513E-2</v>
      </c>
      <c r="I1868" s="4">
        <v>3.6617453970988513E-2</v>
      </c>
      <c r="J1868" s="4">
        <v>3.6617453970988513E-2</v>
      </c>
      <c r="K1868" s="4">
        <v>3.6617453970988513E-2</v>
      </c>
      <c r="L1868" s="4">
        <v>3.6617453970988513E-2</v>
      </c>
      <c r="M1868" s="4">
        <v>3.6617453970988513E-2</v>
      </c>
      <c r="Q1868" t="s">
        <v>278</v>
      </c>
    </row>
    <row r="1869" spans="1:17" x14ac:dyDescent="0.25">
      <c r="A1869" t="s">
        <v>35</v>
      </c>
      <c r="B1869" t="s">
        <v>107</v>
      </c>
      <c r="C1869" s="4">
        <v>1.8019457936568051E-2</v>
      </c>
      <c r="D1869" s="4">
        <v>1.8019457936568051E-2</v>
      </c>
      <c r="E1869" s="4">
        <v>1.8019457936568051E-2</v>
      </c>
      <c r="F1869" s="4">
        <v>1.8019457936568051E-2</v>
      </c>
      <c r="G1869" s="4">
        <v>1.8019457936568051E-2</v>
      </c>
      <c r="H1869" s="4">
        <v>1.8019457936568051E-2</v>
      </c>
      <c r="I1869" s="4">
        <v>1.8019457936568051E-2</v>
      </c>
      <c r="J1869" s="4">
        <v>1.8019457936568051E-2</v>
      </c>
      <c r="K1869" s="4">
        <v>1.8019457936568051E-2</v>
      </c>
      <c r="L1869" s="4">
        <v>1.8019457936568051E-2</v>
      </c>
      <c r="M1869" s="4">
        <v>1.8019457936568051E-2</v>
      </c>
      <c r="Q1869" t="s">
        <v>278</v>
      </c>
    </row>
    <row r="1870" spans="1:17" x14ac:dyDescent="0.25">
      <c r="A1870" t="s">
        <v>36</v>
      </c>
      <c r="B1870" t="s">
        <v>107</v>
      </c>
      <c r="C1870" s="4">
        <v>0.39720722149343618</v>
      </c>
      <c r="D1870" s="4">
        <v>0.39720722149343618</v>
      </c>
      <c r="E1870" s="4">
        <v>0.39720722149343618</v>
      </c>
      <c r="F1870" s="4">
        <v>0.39720722149343618</v>
      </c>
      <c r="G1870" s="4">
        <v>0.39720722149343618</v>
      </c>
      <c r="H1870" s="4">
        <v>0.39720722149343618</v>
      </c>
      <c r="I1870" s="4">
        <v>0.39720722149343618</v>
      </c>
      <c r="J1870" s="4">
        <v>0.39720722149343618</v>
      </c>
      <c r="K1870" s="4">
        <v>0.39720722149343618</v>
      </c>
      <c r="L1870" s="4">
        <v>0.39720722149343618</v>
      </c>
      <c r="M1870" s="4">
        <v>0.39720722149343618</v>
      </c>
      <c r="Q1870" t="s">
        <v>278</v>
      </c>
    </row>
    <row r="1871" spans="1:17" x14ac:dyDescent="0.25">
      <c r="A1871" t="s">
        <v>41</v>
      </c>
      <c r="B1871" t="s">
        <v>107</v>
      </c>
      <c r="C1871" s="4">
        <v>0.42992886253085788</v>
      </c>
      <c r="D1871" s="4">
        <v>0.42992886253085788</v>
      </c>
      <c r="E1871" s="4">
        <v>0.42992886253085788</v>
      </c>
      <c r="F1871" s="4">
        <v>0.42992886253085788</v>
      </c>
      <c r="G1871" s="4">
        <v>0.42992886253085788</v>
      </c>
      <c r="H1871" s="4">
        <v>0.42992886253085788</v>
      </c>
      <c r="I1871" s="4">
        <v>0.42992886253085788</v>
      </c>
      <c r="J1871" s="4">
        <v>0.42992886253085788</v>
      </c>
      <c r="K1871" s="4">
        <v>0.42992886253085788</v>
      </c>
      <c r="L1871" s="4">
        <v>0.42992886253085788</v>
      </c>
      <c r="M1871" s="4">
        <v>0.42992886253085788</v>
      </c>
      <c r="Q1871" t="s">
        <v>278</v>
      </c>
    </row>
    <row r="1872" spans="1:17" x14ac:dyDescent="0.25">
      <c r="A1872" t="s">
        <v>46</v>
      </c>
      <c r="B1872" t="s">
        <v>107</v>
      </c>
      <c r="C1872" s="4">
        <v>0.11288143133654931</v>
      </c>
      <c r="D1872" s="4">
        <v>0.11288143133654931</v>
      </c>
      <c r="E1872" s="4">
        <v>0.11288143133654931</v>
      </c>
      <c r="F1872" s="4">
        <v>0.11288143133654931</v>
      </c>
      <c r="G1872" s="4">
        <v>0.11288143133654931</v>
      </c>
      <c r="H1872" s="4">
        <v>0.11288143133654931</v>
      </c>
      <c r="I1872" s="4">
        <v>0.11288143133654931</v>
      </c>
      <c r="J1872" s="4">
        <v>0.11288143133654931</v>
      </c>
      <c r="K1872" s="4">
        <v>0.11288143133654931</v>
      </c>
      <c r="L1872" s="4">
        <v>0.11288143133654931</v>
      </c>
      <c r="M1872" s="4">
        <v>0.11288143133654931</v>
      </c>
      <c r="Q1872" t="s">
        <v>278</v>
      </c>
    </row>
    <row r="1873" spans="1:17" x14ac:dyDescent="0.25">
      <c r="A1873" t="s">
        <v>39</v>
      </c>
      <c r="B1873" t="s">
        <v>107</v>
      </c>
      <c r="C1873" s="4">
        <v>1.5815296317368711E-2</v>
      </c>
      <c r="D1873" s="4">
        <v>1.5815296317368711E-2</v>
      </c>
      <c r="E1873" s="4">
        <v>1.5815296317368711E-2</v>
      </c>
      <c r="F1873" s="4">
        <v>1.5815296317368711E-2</v>
      </c>
      <c r="G1873" s="4">
        <v>1.5815296317368711E-2</v>
      </c>
      <c r="H1873" s="4">
        <v>1.5815296317368711E-2</v>
      </c>
      <c r="I1873" s="4">
        <v>1.5815296317368711E-2</v>
      </c>
      <c r="J1873" s="4">
        <v>1.5815296317368711E-2</v>
      </c>
      <c r="K1873" s="4">
        <v>1.5815296317368711E-2</v>
      </c>
      <c r="L1873" s="4">
        <v>1.5815296317368711E-2</v>
      </c>
      <c r="M1873" s="4">
        <v>1.5815296317368711E-2</v>
      </c>
      <c r="Q1873" t="s">
        <v>278</v>
      </c>
    </row>
    <row r="1874" spans="1:17" x14ac:dyDescent="0.25">
      <c r="A1874" t="s">
        <v>50</v>
      </c>
      <c r="B1874" t="s">
        <v>107</v>
      </c>
      <c r="C1874" s="4">
        <v>1</v>
      </c>
      <c r="D1874" s="4">
        <v>1</v>
      </c>
      <c r="E1874" s="4">
        <v>1</v>
      </c>
      <c r="F1874" s="4">
        <v>1</v>
      </c>
      <c r="G1874" s="4">
        <v>1</v>
      </c>
      <c r="H1874" s="4">
        <v>1</v>
      </c>
      <c r="I1874" s="4">
        <v>1</v>
      </c>
      <c r="J1874" s="4">
        <v>1</v>
      </c>
      <c r="K1874" s="4">
        <v>1</v>
      </c>
      <c r="L1874" s="4">
        <v>1</v>
      </c>
      <c r="M1874" s="4">
        <v>1</v>
      </c>
      <c r="Q1874" t="s">
        <v>278</v>
      </c>
    </row>
    <row r="1875" spans="1:17" x14ac:dyDescent="0.25">
      <c r="A1875" t="s">
        <v>43</v>
      </c>
      <c r="B1875" t="s">
        <v>135</v>
      </c>
      <c r="C1875" s="4">
        <v>1.430118026799506E-2</v>
      </c>
      <c r="D1875" s="4">
        <v>1.430118026799506E-2</v>
      </c>
      <c r="E1875" s="4">
        <v>1.430118026799506E-2</v>
      </c>
      <c r="F1875" s="4">
        <v>1.430118026799506E-2</v>
      </c>
      <c r="G1875" s="4">
        <v>1.430118026799506E-2</v>
      </c>
      <c r="H1875" s="4">
        <v>1.430118026799506E-2</v>
      </c>
      <c r="I1875" s="4">
        <v>1.430118026799506E-2</v>
      </c>
      <c r="J1875" s="4">
        <v>1.430118026799506E-2</v>
      </c>
      <c r="K1875" s="4">
        <v>1.430118026799506E-2</v>
      </c>
      <c r="L1875" s="4">
        <v>1.430118026799506E-2</v>
      </c>
      <c r="M1875" s="4">
        <v>1.430118026799506E-2</v>
      </c>
      <c r="Q1875" t="s">
        <v>278</v>
      </c>
    </row>
    <row r="1876" spans="1:17" x14ac:dyDescent="0.25">
      <c r="A1876" t="s">
        <v>35</v>
      </c>
      <c r="B1876" t="s">
        <v>135</v>
      </c>
      <c r="C1876" s="4">
        <v>1.5735354165210561E-2</v>
      </c>
      <c r="D1876" s="4">
        <v>1.5735354165210561E-2</v>
      </c>
      <c r="E1876" s="4">
        <v>1.5735354165210561E-2</v>
      </c>
      <c r="F1876" s="4">
        <v>1.5735354165210561E-2</v>
      </c>
      <c r="G1876" s="4">
        <v>1.5735354165210561E-2</v>
      </c>
      <c r="H1876" s="4">
        <v>1.5735354165210561E-2</v>
      </c>
      <c r="I1876" s="4">
        <v>1.5735354165210561E-2</v>
      </c>
      <c r="J1876" s="4">
        <v>1.5735354165210561E-2</v>
      </c>
      <c r="K1876" s="4">
        <v>1.5735354165210561E-2</v>
      </c>
      <c r="L1876" s="4">
        <v>1.5735354165210561E-2</v>
      </c>
      <c r="M1876" s="4">
        <v>1.5735354165210561E-2</v>
      </c>
      <c r="Q1876" t="s">
        <v>278</v>
      </c>
    </row>
    <row r="1877" spans="1:17" x14ac:dyDescent="0.25">
      <c r="A1877" t="s">
        <v>36</v>
      </c>
      <c r="B1877" t="s">
        <v>135</v>
      </c>
      <c r="C1877" s="4">
        <v>1.694462257664724E-2</v>
      </c>
      <c r="D1877" s="4">
        <v>1.694462257664724E-2</v>
      </c>
      <c r="E1877" s="4">
        <v>1.694462257664724E-2</v>
      </c>
      <c r="F1877" s="4">
        <v>1.694462257664724E-2</v>
      </c>
      <c r="G1877" s="4">
        <v>1.694462257664724E-2</v>
      </c>
      <c r="H1877" s="4">
        <v>1.694462257664724E-2</v>
      </c>
      <c r="I1877" s="4">
        <v>1.694462257664724E-2</v>
      </c>
      <c r="J1877" s="4">
        <v>1.694462257664724E-2</v>
      </c>
      <c r="K1877" s="4">
        <v>1.694462257664724E-2</v>
      </c>
      <c r="L1877" s="4">
        <v>1.694462257664724E-2</v>
      </c>
      <c r="M1877" s="4">
        <v>1.694462257664724E-2</v>
      </c>
      <c r="Q1877" t="s">
        <v>278</v>
      </c>
    </row>
    <row r="1878" spans="1:17" x14ac:dyDescent="0.25">
      <c r="A1878" t="s">
        <v>46</v>
      </c>
      <c r="B1878" t="s">
        <v>135</v>
      </c>
      <c r="C1878" s="4">
        <v>5.8432740927154957E-3</v>
      </c>
      <c r="D1878" s="4">
        <v>5.8432740927154957E-3</v>
      </c>
      <c r="E1878" s="4">
        <v>5.8432740927154957E-3</v>
      </c>
      <c r="F1878" s="4">
        <v>5.8432740927154957E-3</v>
      </c>
      <c r="G1878" s="4">
        <v>5.8432740927154957E-3</v>
      </c>
      <c r="H1878" s="4">
        <v>5.8432740927154957E-3</v>
      </c>
      <c r="I1878" s="4">
        <v>5.8432740927154957E-3</v>
      </c>
      <c r="J1878" s="4">
        <v>5.8432740927154957E-3</v>
      </c>
      <c r="K1878" s="4">
        <v>5.8432740927154957E-3</v>
      </c>
      <c r="L1878" s="4">
        <v>5.8432740927154957E-3</v>
      </c>
      <c r="M1878" s="4">
        <v>5.8432740927154957E-3</v>
      </c>
      <c r="Q1878" t="s">
        <v>278</v>
      </c>
    </row>
    <row r="1879" spans="1:17" x14ac:dyDescent="0.25">
      <c r="A1879" t="s">
        <v>42</v>
      </c>
      <c r="B1879" t="s">
        <v>137</v>
      </c>
      <c r="C1879" s="4">
        <v>9.617270709827333E-2</v>
      </c>
      <c r="D1879" s="4">
        <v>9.617270709827333E-2</v>
      </c>
      <c r="E1879" s="4">
        <v>9.617270709827333E-2</v>
      </c>
      <c r="F1879" s="4">
        <v>9.617270709827333E-2</v>
      </c>
      <c r="G1879" s="4">
        <v>9.617270709827333E-2</v>
      </c>
      <c r="H1879" s="4">
        <v>9.617270709827333E-2</v>
      </c>
      <c r="I1879" s="4">
        <v>9.617270709827333E-2</v>
      </c>
      <c r="J1879" s="4">
        <v>9.617270709827333E-2</v>
      </c>
      <c r="K1879" s="4">
        <v>9.617270709827333E-2</v>
      </c>
      <c r="L1879" s="4">
        <v>9.617270709827333E-2</v>
      </c>
      <c r="M1879" s="4">
        <v>9.617270709827333E-2</v>
      </c>
      <c r="Q1879" t="s">
        <v>278</v>
      </c>
    </row>
    <row r="1880" spans="1:17" x14ac:dyDescent="0.25">
      <c r="A1880" t="s">
        <v>43</v>
      </c>
      <c r="B1880" t="s">
        <v>121</v>
      </c>
      <c r="C1880" s="4">
        <v>3.0210896648873851E-2</v>
      </c>
      <c r="D1880" s="4">
        <v>3.0210896648873851E-2</v>
      </c>
      <c r="E1880" s="4">
        <v>3.0210896648873851E-2</v>
      </c>
      <c r="F1880" s="4">
        <v>3.0210896648873851E-2</v>
      </c>
      <c r="G1880" s="4">
        <v>3.0210896648873851E-2</v>
      </c>
      <c r="H1880" s="4">
        <v>3.0210896648873851E-2</v>
      </c>
      <c r="I1880" s="4">
        <v>3.0210896648873851E-2</v>
      </c>
      <c r="J1880" s="4">
        <v>3.0210896648873851E-2</v>
      </c>
      <c r="K1880" s="4">
        <v>3.0210896648873851E-2</v>
      </c>
      <c r="L1880" s="4">
        <v>3.0210896648873851E-2</v>
      </c>
      <c r="M1880" s="4">
        <v>3.0210896648873851E-2</v>
      </c>
      <c r="Q1880" t="s">
        <v>278</v>
      </c>
    </row>
    <row r="1881" spans="1:17" x14ac:dyDescent="0.25">
      <c r="A1881" t="s">
        <v>35</v>
      </c>
      <c r="B1881" t="s">
        <v>121</v>
      </c>
      <c r="C1881" s="4">
        <v>4.1980963975122833E-2</v>
      </c>
      <c r="D1881" s="4">
        <v>4.1980963975122833E-2</v>
      </c>
      <c r="E1881" s="4">
        <v>4.1980963975122833E-2</v>
      </c>
      <c r="F1881" s="4">
        <v>4.1980963975122833E-2</v>
      </c>
      <c r="G1881" s="4">
        <v>4.1980963975122833E-2</v>
      </c>
      <c r="H1881" s="4">
        <v>4.1980963975122833E-2</v>
      </c>
      <c r="I1881" s="4">
        <v>4.1980963975122833E-2</v>
      </c>
      <c r="J1881" s="4">
        <v>4.1980963975122833E-2</v>
      </c>
      <c r="K1881" s="4">
        <v>4.1980963975122833E-2</v>
      </c>
      <c r="L1881" s="4">
        <v>4.1980963975122833E-2</v>
      </c>
      <c r="M1881" s="4">
        <v>4.1980963975122833E-2</v>
      </c>
      <c r="Q1881" t="s">
        <v>278</v>
      </c>
    </row>
    <row r="1882" spans="1:17" x14ac:dyDescent="0.25">
      <c r="A1882" t="s">
        <v>36</v>
      </c>
      <c r="B1882" t="s">
        <v>121</v>
      </c>
      <c r="C1882" s="4">
        <v>4.0875186040157829E-2</v>
      </c>
      <c r="D1882" s="4">
        <v>4.0875186040157829E-2</v>
      </c>
      <c r="E1882" s="4">
        <v>4.0875186040157829E-2</v>
      </c>
      <c r="F1882" s="4">
        <v>4.0875186040157829E-2</v>
      </c>
      <c r="G1882" s="4">
        <v>4.0875186040157829E-2</v>
      </c>
      <c r="H1882" s="4">
        <v>4.0875186040157829E-2</v>
      </c>
      <c r="I1882" s="4">
        <v>4.0875186040157829E-2</v>
      </c>
      <c r="J1882" s="4">
        <v>4.0875186040157829E-2</v>
      </c>
      <c r="K1882" s="4">
        <v>4.0875186040157829E-2</v>
      </c>
      <c r="L1882" s="4">
        <v>4.0875186040157829E-2</v>
      </c>
      <c r="M1882" s="4">
        <v>4.0875186040157829E-2</v>
      </c>
      <c r="Q1882" t="s">
        <v>278</v>
      </c>
    </row>
    <row r="1883" spans="1:17" x14ac:dyDescent="0.25">
      <c r="A1883" t="s">
        <v>39</v>
      </c>
      <c r="B1883" t="s">
        <v>121</v>
      </c>
      <c r="C1883" s="4">
        <v>2.194372364034909E-3</v>
      </c>
      <c r="D1883" s="4">
        <v>2.194372364034909E-3</v>
      </c>
      <c r="E1883" s="4">
        <v>2.194372364034909E-3</v>
      </c>
      <c r="F1883" s="4">
        <v>2.194372364034909E-3</v>
      </c>
      <c r="G1883" s="4">
        <v>2.194372364034909E-3</v>
      </c>
      <c r="H1883" s="4">
        <v>2.194372364034909E-3</v>
      </c>
      <c r="I1883" s="4">
        <v>2.194372364034909E-3</v>
      </c>
      <c r="J1883" s="4">
        <v>2.194372364034909E-3</v>
      </c>
      <c r="K1883" s="4">
        <v>2.194372364034909E-3</v>
      </c>
      <c r="L1883" s="4">
        <v>2.194372364034909E-3</v>
      </c>
      <c r="M1883" s="4">
        <v>2.194372364034909E-3</v>
      </c>
      <c r="Q1883" t="s">
        <v>278</v>
      </c>
    </row>
    <row r="1884" spans="1:17" x14ac:dyDescent="0.25">
      <c r="A1884" t="s">
        <v>34</v>
      </c>
      <c r="B1884" t="s">
        <v>138</v>
      </c>
      <c r="C1884" s="4">
        <v>2.680012498388425E-2</v>
      </c>
      <c r="D1884" s="4">
        <v>2.680012498388425E-2</v>
      </c>
      <c r="E1884" s="4">
        <v>2.680012498388425E-2</v>
      </c>
      <c r="F1884" s="4">
        <v>2.680012498388425E-2</v>
      </c>
      <c r="G1884" s="4">
        <v>2.680012498388425E-2</v>
      </c>
      <c r="H1884" s="4">
        <v>2.680012498388425E-2</v>
      </c>
      <c r="I1884" s="4">
        <v>2.680012498388425E-2</v>
      </c>
      <c r="J1884" s="4">
        <v>2.680012498388425E-2</v>
      </c>
      <c r="K1884" s="4">
        <v>2.680012498388425E-2</v>
      </c>
      <c r="L1884" s="4">
        <v>2.680012498388425E-2</v>
      </c>
      <c r="M1884" s="4">
        <v>2.680012498388425E-2</v>
      </c>
      <c r="Q1884" t="s">
        <v>278</v>
      </c>
    </row>
    <row r="1885" spans="1:17" x14ac:dyDescent="0.25">
      <c r="A1885" t="s">
        <v>34</v>
      </c>
      <c r="B1885" t="s">
        <v>112</v>
      </c>
      <c r="C1885" s="4">
        <v>2.088231624366281E-2</v>
      </c>
      <c r="D1885" s="4">
        <v>2.088231624366281E-2</v>
      </c>
      <c r="E1885" s="4">
        <v>2.088231624366281E-2</v>
      </c>
      <c r="F1885" s="4">
        <v>2.088231624366281E-2</v>
      </c>
      <c r="G1885" s="4">
        <v>2.088231624366281E-2</v>
      </c>
      <c r="H1885" s="4">
        <v>2.088231624366281E-2</v>
      </c>
      <c r="I1885" s="4">
        <v>2.088231624366281E-2</v>
      </c>
      <c r="J1885" s="4">
        <v>2.088231624366281E-2</v>
      </c>
      <c r="K1885" s="4">
        <v>2.088231624366281E-2</v>
      </c>
      <c r="L1885" s="4">
        <v>2.088231624366281E-2</v>
      </c>
      <c r="M1885" s="4">
        <v>2.088231624366281E-2</v>
      </c>
      <c r="Q1885" t="s">
        <v>278</v>
      </c>
    </row>
    <row r="1886" spans="1:17" x14ac:dyDescent="0.25">
      <c r="A1886" t="s">
        <v>36</v>
      </c>
      <c r="B1886" t="s">
        <v>112</v>
      </c>
      <c r="C1886" s="4">
        <v>3.0935083980392171E-3</v>
      </c>
      <c r="D1886" s="4">
        <v>3.0935083980392171E-3</v>
      </c>
      <c r="E1886" s="4">
        <v>3.0935083980392171E-3</v>
      </c>
      <c r="F1886" s="4">
        <v>3.0935083980392171E-3</v>
      </c>
      <c r="G1886" s="4">
        <v>3.0935083980392171E-3</v>
      </c>
      <c r="H1886" s="4">
        <v>3.0935083980392171E-3</v>
      </c>
      <c r="I1886" s="4">
        <v>3.0935083980392171E-3</v>
      </c>
      <c r="J1886" s="4">
        <v>3.0935083980392171E-3</v>
      </c>
      <c r="K1886" s="4">
        <v>3.0935083980392171E-3</v>
      </c>
      <c r="L1886" s="4">
        <v>3.0935083980392171E-3</v>
      </c>
      <c r="M1886" s="4">
        <v>3.0935083980392171E-3</v>
      </c>
      <c r="Q1886" t="s">
        <v>278</v>
      </c>
    </row>
    <row r="1887" spans="1:17" x14ac:dyDescent="0.25">
      <c r="A1887" t="s">
        <v>51</v>
      </c>
      <c r="B1887" t="s">
        <v>113</v>
      </c>
      <c r="C1887" s="4">
        <v>1</v>
      </c>
      <c r="D1887" s="4">
        <v>1</v>
      </c>
      <c r="E1887" s="4">
        <v>1</v>
      </c>
      <c r="F1887" s="4">
        <v>1</v>
      </c>
      <c r="G1887" s="4">
        <v>1</v>
      </c>
      <c r="H1887" s="4">
        <v>1</v>
      </c>
      <c r="I1887" s="4">
        <v>1</v>
      </c>
      <c r="J1887" s="4">
        <v>1</v>
      </c>
      <c r="K1887" s="4">
        <v>1</v>
      </c>
      <c r="L1887" s="4">
        <v>1</v>
      </c>
      <c r="M1887" s="4">
        <v>1</v>
      </c>
      <c r="Q1887" t="s">
        <v>278</v>
      </c>
    </row>
    <row r="1888" spans="1:17" x14ac:dyDescent="0.25">
      <c r="A1888" t="s">
        <v>43</v>
      </c>
      <c r="B1888" t="s">
        <v>122</v>
      </c>
      <c r="C1888" s="4">
        <v>7.152586937448005E-2</v>
      </c>
      <c r="D1888" s="4">
        <v>7.152586937448005E-2</v>
      </c>
      <c r="E1888" s="4">
        <v>7.152586937448005E-2</v>
      </c>
      <c r="F1888" s="4">
        <v>7.152586937448005E-2</v>
      </c>
      <c r="G1888" s="4">
        <v>7.152586937448005E-2</v>
      </c>
      <c r="H1888" s="4">
        <v>7.152586937448005E-2</v>
      </c>
      <c r="I1888" s="4">
        <v>7.152586937448005E-2</v>
      </c>
      <c r="J1888" s="4">
        <v>7.152586937448005E-2</v>
      </c>
      <c r="K1888" s="4">
        <v>7.152586937448005E-2</v>
      </c>
      <c r="L1888" s="4">
        <v>7.152586937448005E-2</v>
      </c>
      <c r="M1888" s="4">
        <v>7.152586937448005E-2</v>
      </c>
      <c r="Q1888" t="s">
        <v>278</v>
      </c>
    </row>
    <row r="1889" spans="1:18" x14ac:dyDescent="0.25">
      <c r="A1889" t="s">
        <v>40</v>
      </c>
      <c r="B1889" t="s">
        <v>122</v>
      </c>
      <c r="C1889" s="4">
        <v>6.619091709762652E-2</v>
      </c>
      <c r="D1889" s="4">
        <v>6.619091709762652E-2</v>
      </c>
      <c r="E1889" s="4">
        <v>6.619091709762652E-2</v>
      </c>
      <c r="F1889" s="4">
        <v>6.619091709762652E-2</v>
      </c>
      <c r="G1889" s="4">
        <v>6.619091709762652E-2</v>
      </c>
      <c r="H1889" s="4">
        <v>6.619091709762652E-2</v>
      </c>
      <c r="I1889" s="4">
        <v>6.619091709762652E-2</v>
      </c>
      <c r="J1889" s="4">
        <v>6.619091709762652E-2</v>
      </c>
      <c r="K1889" s="4">
        <v>6.619091709762652E-2</v>
      </c>
      <c r="L1889" s="4">
        <v>6.619091709762652E-2</v>
      </c>
      <c r="M1889" s="4">
        <v>6.619091709762652E-2</v>
      </c>
      <c r="Q1889" t="s">
        <v>278</v>
      </c>
    </row>
    <row r="1890" spans="1:18" x14ac:dyDescent="0.25">
      <c r="A1890" t="s">
        <v>35</v>
      </c>
      <c r="B1890" t="s">
        <v>122</v>
      </c>
      <c r="C1890" s="4">
        <v>0.32627129237031272</v>
      </c>
      <c r="D1890" s="4">
        <v>0.32627129237031272</v>
      </c>
      <c r="E1890" s="4">
        <v>0.32627129237031272</v>
      </c>
      <c r="F1890" s="4">
        <v>0.32627129237031272</v>
      </c>
      <c r="G1890" s="4">
        <v>0.32627129237031272</v>
      </c>
      <c r="H1890" s="4">
        <v>0.32627129237031272</v>
      </c>
      <c r="I1890" s="4">
        <v>0.32627129237031272</v>
      </c>
      <c r="J1890" s="4">
        <v>0.32627129237031272</v>
      </c>
      <c r="K1890" s="4">
        <v>0.32627129237031272</v>
      </c>
      <c r="L1890" s="4">
        <v>0.32627129237031272</v>
      </c>
      <c r="M1890" s="4">
        <v>0.32627129237031272</v>
      </c>
      <c r="Q1890" t="s">
        <v>278</v>
      </c>
    </row>
    <row r="1891" spans="1:18" x14ac:dyDescent="0.25">
      <c r="A1891" t="s">
        <v>36</v>
      </c>
      <c r="B1891" t="s">
        <v>122</v>
      </c>
      <c r="C1891" s="4">
        <v>4.704873260447303E-2</v>
      </c>
      <c r="D1891" s="4">
        <v>4.704873260447303E-2</v>
      </c>
      <c r="E1891" s="4">
        <v>4.704873260447303E-2</v>
      </c>
      <c r="F1891" s="4">
        <v>4.704873260447303E-2</v>
      </c>
      <c r="G1891" s="4">
        <v>4.704873260447303E-2</v>
      </c>
      <c r="H1891" s="4">
        <v>4.704873260447303E-2</v>
      </c>
      <c r="I1891" s="4">
        <v>4.704873260447303E-2</v>
      </c>
      <c r="J1891" s="4">
        <v>4.704873260447303E-2</v>
      </c>
      <c r="K1891" s="4">
        <v>4.704873260447303E-2</v>
      </c>
      <c r="L1891" s="4">
        <v>4.704873260447303E-2</v>
      </c>
      <c r="M1891" s="4">
        <v>4.704873260447303E-2</v>
      </c>
      <c r="Q1891" t="s">
        <v>278</v>
      </c>
    </row>
    <row r="1892" spans="1:18" x14ac:dyDescent="0.25">
      <c r="A1892" t="s">
        <v>46</v>
      </c>
      <c r="B1892" t="s">
        <v>122</v>
      </c>
      <c r="C1892" s="4">
        <v>0.32394181958227231</v>
      </c>
      <c r="D1892" s="4">
        <v>0.32394181958227231</v>
      </c>
      <c r="E1892" s="4">
        <v>0.32394181958227231</v>
      </c>
      <c r="F1892" s="4">
        <v>0.32394181958227231</v>
      </c>
      <c r="G1892" s="4">
        <v>0.32394181958227231</v>
      </c>
      <c r="H1892" s="4">
        <v>0.32394181958227231</v>
      </c>
      <c r="I1892" s="4">
        <v>0.32394181958227231</v>
      </c>
      <c r="J1892" s="4">
        <v>0.32394181958227231</v>
      </c>
      <c r="K1892" s="4">
        <v>0.32394181958227231</v>
      </c>
      <c r="L1892" s="4">
        <v>0.32394181958227231</v>
      </c>
      <c r="M1892" s="4">
        <v>0.32394181958227231</v>
      </c>
      <c r="Q1892" t="s">
        <v>278</v>
      </c>
    </row>
    <row r="1893" spans="1:18" x14ac:dyDescent="0.25">
      <c r="A1893" t="s">
        <v>43</v>
      </c>
      <c r="B1893" t="s">
        <v>114</v>
      </c>
      <c r="C1893" s="4">
        <v>3.3280057507939372E-3</v>
      </c>
      <c r="D1893" s="4">
        <v>3.3280057507939372E-3</v>
      </c>
      <c r="E1893" s="4">
        <v>3.3280057507939372E-3</v>
      </c>
      <c r="F1893" s="4">
        <v>3.3280057507939372E-3</v>
      </c>
      <c r="G1893" s="4">
        <v>3.3280057507939372E-3</v>
      </c>
      <c r="H1893" s="4">
        <v>3.3280057507939372E-3</v>
      </c>
      <c r="I1893" s="4">
        <v>3.3280057507939372E-3</v>
      </c>
      <c r="J1893" s="4">
        <v>3.3280057507939372E-3</v>
      </c>
      <c r="K1893" s="4">
        <v>3.3280057507939372E-3</v>
      </c>
      <c r="L1893" s="4">
        <v>3.3280057507939372E-3</v>
      </c>
      <c r="M1893" s="4">
        <v>3.3280057507939372E-3</v>
      </c>
      <c r="Q1893" t="s">
        <v>278</v>
      </c>
    </row>
    <row r="1894" spans="1:18" x14ac:dyDescent="0.25">
      <c r="A1894" t="s">
        <v>40</v>
      </c>
      <c r="B1894" t="s">
        <v>114</v>
      </c>
      <c r="C1894" s="4">
        <v>2.6057364419190029E-2</v>
      </c>
      <c r="D1894" s="4">
        <v>2.6057364419190029E-2</v>
      </c>
      <c r="E1894" s="4">
        <v>2.6057364419190029E-2</v>
      </c>
      <c r="F1894" s="4">
        <v>2.6057364419190029E-2</v>
      </c>
      <c r="G1894" s="4">
        <v>2.6057364419190029E-2</v>
      </c>
      <c r="H1894" s="4">
        <v>2.6057364419190029E-2</v>
      </c>
      <c r="I1894" s="4">
        <v>2.6057364419190029E-2</v>
      </c>
      <c r="J1894" s="4">
        <v>2.6057364419190029E-2</v>
      </c>
      <c r="K1894" s="4">
        <v>2.6057364419190029E-2</v>
      </c>
      <c r="L1894" s="4">
        <v>2.6057364419190029E-2</v>
      </c>
      <c r="M1894" s="4">
        <v>2.6057364419190029E-2</v>
      </c>
      <c r="Q1894" t="s">
        <v>278</v>
      </c>
    </row>
    <row r="1895" spans="1:18" x14ac:dyDescent="0.25">
      <c r="A1895" t="s">
        <v>35</v>
      </c>
      <c r="B1895" t="s">
        <v>114</v>
      </c>
      <c r="C1895" s="4">
        <v>3.1530766934105121E-3</v>
      </c>
      <c r="D1895" s="4">
        <v>3.1530766934105121E-3</v>
      </c>
      <c r="E1895" s="4">
        <v>3.1530766934105121E-3</v>
      </c>
      <c r="F1895" s="4">
        <v>3.1530766934105121E-3</v>
      </c>
      <c r="G1895" s="4">
        <v>3.1530766934105121E-3</v>
      </c>
      <c r="H1895" s="4">
        <v>3.1530766934105121E-3</v>
      </c>
      <c r="I1895" s="4">
        <v>3.1530766934105121E-3</v>
      </c>
      <c r="J1895" s="4">
        <v>3.1530766934105121E-3</v>
      </c>
      <c r="K1895" s="4">
        <v>3.1530766934105121E-3</v>
      </c>
      <c r="L1895" s="4">
        <v>3.1530766934105121E-3</v>
      </c>
      <c r="M1895" s="4">
        <v>3.1530766934105121E-3</v>
      </c>
      <c r="Q1895" t="s">
        <v>278</v>
      </c>
    </row>
    <row r="1896" spans="1:18" x14ac:dyDescent="0.25">
      <c r="A1896" t="s">
        <v>36</v>
      </c>
      <c r="B1896" t="s">
        <v>114</v>
      </c>
      <c r="C1896" s="4">
        <v>2.2295556021904271E-2</v>
      </c>
      <c r="D1896" s="4">
        <v>2.2295556021904271E-2</v>
      </c>
      <c r="E1896" s="4">
        <v>2.2295556021904271E-2</v>
      </c>
      <c r="F1896" s="4">
        <v>2.2295556021904271E-2</v>
      </c>
      <c r="G1896" s="4">
        <v>2.2295556021904271E-2</v>
      </c>
      <c r="H1896" s="4">
        <v>2.2295556021904271E-2</v>
      </c>
      <c r="I1896" s="4">
        <v>2.2295556021904271E-2</v>
      </c>
      <c r="J1896" s="4">
        <v>2.2295556021904271E-2</v>
      </c>
      <c r="K1896" s="4">
        <v>2.2295556021904271E-2</v>
      </c>
      <c r="L1896" s="4">
        <v>2.2295556021904271E-2</v>
      </c>
      <c r="M1896" s="4">
        <v>2.2295556021904271E-2</v>
      </c>
      <c r="Q1896" t="s">
        <v>278</v>
      </c>
    </row>
    <row r="1897" spans="1:18" x14ac:dyDescent="0.25">
      <c r="A1897" t="s">
        <v>34</v>
      </c>
      <c r="B1897" t="s">
        <v>158</v>
      </c>
      <c r="C1897" s="4">
        <v>6.4325017553644032E-2</v>
      </c>
      <c r="D1897" s="4">
        <v>6.4325017553644032E-2</v>
      </c>
      <c r="E1897" s="4">
        <v>6.4325017553644032E-2</v>
      </c>
      <c r="F1897" s="4">
        <v>6.4325017553644032E-2</v>
      </c>
      <c r="G1897" s="4">
        <v>6.4325017553644032E-2</v>
      </c>
      <c r="H1897" s="4">
        <v>6.4325017553644032E-2</v>
      </c>
      <c r="I1897" s="4">
        <v>6.4325017553644032E-2</v>
      </c>
      <c r="J1897" s="4">
        <v>6.4325017553644032E-2</v>
      </c>
      <c r="K1897" s="4">
        <v>6.4325017553644032E-2</v>
      </c>
      <c r="L1897" s="4">
        <v>6.4325017553644032E-2</v>
      </c>
      <c r="M1897" s="4">
        <v>6.4325017553644032E-2</v>
      </c>
      <c r="Q1897" t="s">
        <v>278</v>
      </c>
    </row>
    <row r="1898" spans="1:18" x14ac:dyDescent="0.25">
      <c r="A1898" t="s">
        <v>378</v>
      </c>
      <c r="B1898" t="s">
        <v>124</v>
      </c>
      <c r="C1898" s="4">
        <f t="shared" ref="C1898:M1898" si="986">(0.00247367761416449/(0.00247367761416449+0.832079466311379+0.0127000784696626))*0.66202407676577%</f>
        <v>1.9328744883421822E-5</v>
      </c>
      <c r="D1898" s="4">
        <f t="shared" si="986"/>
        <v>1.9328744883421822E-5</v>
      </c>
      <c r="E1898" s="4">
        <f t="shared" si="986"/>
        <v>1.9328744883421822E-5</v>
      </c>
      <c r="F1898" s="4">
        <f t="shared" si="986"/>
        <v>1.9328744883421822E-5</v>
      </c>
      <c r="G1898" s="4">
        <f t="shared" si="986"/>
        <v>1.9328744883421822E-5</v>
      </c>
      <c r="H1898" s="4">
        <f t="shared" si="986"/>
        <v>1.9328744883421822E-5</v>
      </c>
      <c r="I1898" s="4">
        <f t="shared" si="986"/>
        <v>1.9328744883421822E-5</v>
      </c>
      <c r="J1898" s="4">
        <f t="shared" si="986"/>
        <v>1.9328744883421822E-5</v>
      </c>
      <c r="K1898" s="4">
        <f t="shared" si="986"/>
        <v>1.9328744883421822E-5</v>
      </c>
      <c r="L1898" s="4">
        <f t="shared" si="986"/>
        <v>1.9328744883421822E-5</v>
      </c>
      <c r="M1898" s="4">
        <f t="shared" si="986"/>
        <v>1.9328744883421822E-5</v>
      </c>
      <c r="N1898" t="s">
        <v>242</v>
      </c>
      <c r="O1898" t="s">
        <v>380</v>
      </c>
      <c r="P1898" t="s">
        <v>378</v>
      </c>
      <c r="Q1898" s="4" t="s">
        <v>245</v>
      </c>
      <c r="R1898" t="s">
        <v>566</v>
      </c>
    </row>
    <row r="1899" spans="1:18" x14ac:dyDescent="0.25">
      <c r="A1899" t="s">
        <v>378</v>
      </c>
      <c r="B1899" t="s">
        <v>124</v>
      </c>
      <c r="C1899" s="4">
        <f t="shared" ref="C1899:M1899" si="987">(0.832079466311379/(0.00247367761416449+0.832079466311379+0.0127000784696626)) * 0.66202407676577%</f>
        <v>6.5016765462780979E-3</v>
      </c>
      <c r="D1899" s="4">
        <f t="shared" si="987"/>
        <v>6.5016765462780979E-3</v>
      </c>
      <c r="E1899" s="4">
        <f t="shared" si="987"/>
        <v>6.5016765462780979E-3</v>
      </c>
      <c r="F1899" s="4">
        <f t="shared" si="987"/>
        <v>6.5016765462780979E-3</v>
      </c>
      <c r="G1899" s="4">
        <f t="shared" si="987"/>
        <v>6.5016765462780979E-3</v>
      </c>
      <c r="H1899" s="4">
        <f t="shared" si="987"/>
        <v>6.5016765462780979E-3</v>
      </c>
      <c r="I1899" s="4">
        <f t="shared" si="987"/>
        <v>6.5016765462780979E-3</v>
      </c>
      <c r="J1899" s="4">
        <f t="shared" si="987"/>
        <v>6.5016765462780979E-3</v>
      </c>
      <c r="K1899" s="4">
        <f t="shared" si="987"/>
        <v>6.5016765462780979E-3</v>
      </c>
      <c r="L1899" s="4">
        <f t="shared" si="987"/>
        <v>6.5016765462780979E-3</v>
      </c>
      <c r="M1899" s="4">
        <f t="shared" si="987"/>
        <v>6.5016765462780979E-3</v>
      </c>
      <c r="N1899" t="s">
        <v>242</v>
      </c>
      <c r="O1899" t="s">
        <v>315</v>
      </c>
      <c r="P1899" t="s">
        <v>378</v>
      </c>
      <c r="Q1899" s="4" t="s">
        <v>245</v>
      </c>
    </row>
    <row r="1900" spans="1:18" x14ac:dyDescent="0.25">
      <c r="A1900" t="s">
        <v>378</v>
      </c>
      <c r="B1900" t="s">
        <v>124</v>
      </c>
      <c r="C1900" s="4">
        <f t="shared" ref="C1900:M1900" si="988">(0.0127000784696626/(0.00247367761416449+0.832079466311379+0.0127000784696626)) * 0.66202407676577%</f>
        <v>9.923547649617991E-5</v>
      </c>
      <c r="D1900" s="4">
        <f t="shared" si="988"/>
        <v>9.923547649617991E-5</v>
      </c>
      <c r="E1900" s="4">
        <f t="shared" si="988"/>
        <v>9.923547649617991E-5</v>
      </c>
      <c r="F1900" s="4">
        <f t="shared" si="988"/>
        <v>9.923547649617991E-5</v>
      </c>
      <c r="G1900" s="4">
        <f t="shared" si="988"/>
        <v>9.923547649617991E-5</v>
      </c>
      <c r="H1900" s="4">
        <f t="shared" si="988"/>
        <v>9.923547649617991E-5</v>
      </c>
      <c r="I1900" s="4">
        <f t="shared" si="988"/>
        <v>9.923547649617991E-5</v>
      </c>
      <c r="J1900" s="4">
        <f t="shared" si="988"/>
        <v>9.923547649617991E-5</v>
      </c>
      <c r="K1900" s="4">
        <f t="shared" si="988"/>
        <v>9.923547649617991E-5</v>
      </c>
      <c r="L1900" s="4">
        <f t="shared" si="988"/>
        <v>9.923547649617991E-5</v>
      </c>
      <c r="M1900" s="4">
        <f t="shared" si="988"/>
        <v>9.923547649617991E-5</v>
      </c>
      <c r="N1900" t="s">
        <v>256</v>
      </c>
      <c r="O1900" t="s">
        <v>280</v>
      </c>
      <c r="P1900" t="s">
        <v>378</v>
      </c>
      <c r="Q1900" s="4" t="s">
        <v>245</v>
      </c>
    </row>
    <row r="1901" spans="1:18" x14ac:dyDescent="0.25">
      <c r="A1901" t="s">
        <v>378</v>
      </c>
      <c r="B1901" t="s">
        <v>83</v>
      </c>
      <c r="C1901" s="4">
        <f t="shared" ref="C1901:M1901" si="989">(0.00247367761416449/(0.00247367761416449+0.832079466311379+0.0127000784696626))*10.1515487018672%</f>
        <v>2.9638906184290686E-4</v>
      </c>
      <c r="D1901" s="4">
        <f t="shared" si="989"/>
        <v>2.9638906184290686E-4</v>
      </c>
      <c r="E1901" s="4">
        <f t="shared" si="989"/>
        <v>2.9638906184290686E-4</v>
      </c>
      <c r="F1901" s="4">
        <f t="shared" si="989"/>
        <v>2.9638906184290686E-4</v>
      </c>
      <c r="G1901" s="4">
        <f t="shared" si="989"/>
        <v>2.9638906184290686E-4</v>
      </c>
      <c r="H1901" s="4">
        <f t="shared" si="989"/>
        <v>2.9638906184290686E-4</v>
      </c>
      <c r="I1901" s="4">
        <f t="shared" si="989"/>
        <v>2.9638906184290686E-4</v>
      </c>
      <c r="J1901" s="4">
        <f t="shared" si="989"/>
        <v>2.9638906184290686E-4</v>
      </c>
      <c r="K1901" s="4">
        <f t="shared" si="989"/>
        <v>2.9638906184290686E-4</v>
      </c>
      <c r="L1901" s="4">
        <f t="shared" si="989"/>
        <v>2.9638906184290686E-4</v>
      </c>
      <c r="M1901" s="4">
        <f t="shared" si="989"/>
        <v>2.9638906184290686E-4</v>
      </c>
      <c r="N1901" t="s">
        <v>242</v>
      </c>
      <c r="O1901" t="s">
        <v>380</v>
      </c>
      <c r="P1901" t="s">
        <v>378</v>
      </c>
      <c r="Q1901" s="4" t="s">
        <v>245</v>
      </c>
    </row>
    <row r="1902" spans="1:18" x14ac:dyDescent="0.25">
      <c r="A1902" t="s">
        <v>378</v>
      </c>
      <c r="B1902" t="s">
        <v>83</v>
      </c>
      <c r="C1902" s="4">
        <f t="shared" ref="C1902:M1902" si="990">(0.832079466311379/(0.00247367761416449+0.832079466311379+0.0127000784696626)) * 10.1515487018672%</f>
        <v>9.9697410441285175E-2</v>
      </c>
      <c r="D1902" s="4">
        <f t="shared" si="990"/>
        <v>9.9697410441285175E-2</v>
      </c>
      <c r="E1902" s="4">
        <f t="shared" si="990"/>
        <v>9.9697410441285175E-2</v>
      </c>
      <c r="F1902" s="4">
        <f t="shared" si="990"/>
        <v>9.9697410441285175E-2</v>
      </c>
      <c r="G1902" s="4">
        <f t="shared" si="990"/>
        <v>9.9697410441285175E-2</v>
      </c>
      <c r="H1902" s="4">
        <f t="shared" si="990"/>
        <v>9.9697410441285175E-2</v>
      </c>
      <c r="I1902" s="4">
        <f t="shared" si="990"/>
        <v>9.9697410441285175E-2</v>
      </c>
      <c r="J1902" s="4">
        <f t="shared" si="990"/>
        <v>9.9697410441285175E-2</v>
      </c>
      <c r="K1902" s="4">
        <f t="shared" si="990"/>
        <v>9.9697410441285175E-2</v>
      </c>
      <c r="L1902" s="4">
        <f t="shared" si="990"/>
        <v>9.9697410441285175E-2</v>
      </c>
      <c r="M1902" s="4">
        <f t="shared" si="990"/>
        <v>9.9697410441285175E-2</v>
      </c>
      <c r="N1902" t="s">
        <v>242</v>
      </c>
      <c r="O1902" t="s">
        <v>315</v>
      </c>
      <c r="P1902" t="s">
        <v>378</v>
      </c>
      <c r="Q1902" s="4" t="s">
        <v>245</v>
      </c>
    </row>
    <row r="1903" spans="1:18" x14ac:dyDescent="0.25">
      <c r="A1903" t="s">
        <v>378</v>
      </c>
      <c r="B1903" t="s">
        <v>83</v>
      </c>
      <c r="C1903" s="4">
        <f t="shared" ref="C1903:M1903" si="991">(0.0127000784696626/(0.00247367761416449+0.832079466311379+0.0127000784696626)) * 10.1515487018672%</f>
        <v>1.5216875155439297E-3</v>
      </c>
      <c r="D1903" s="4">
        <f t="shared" si="991"/>
        <v>1.5216875155439297E-3</v>
      </c>
      <c r="E1903" s="4">
        <f t="shared" si="991"/>
        <v>1.5216875155439297E-3</v>
      </c>
      <c r="F1903" s="4">
        <f t="shared" si="991"/>
        <v>1.5216875155439297E-3</v>
      </c>
      <c r="G1903" s="4">
        <f t="shared" si="991"/>
        <v>1.5216875155439297E-3</v>
      </c>
      <c r="H1903" s="4">
        <f t="shared" si="991"/>
        <v>1.5216875155439297E-3</v>
      </c>
      <c r="I1903" s="4">
        <f t="shared" si="991"/>
        <v>1.5216875155439297E-3</v>
      </c>
      <c r="J1903" s="4">
        <f t="shared" si="991"/>
        <v>1.5216875155439297E-3</v>
      </c>
      <c r="K1903" s="4">
        <f t="shared" si="991"/>
        <v>1.5216875155439297E-3</v>
      </c>
      <c r="L1903" s="4">
        <f t="shared" si="991"/>
        <v>1.5216875155439297E-3</v>
      </c>
      <c r="M1903" s="4">
        <f t="shared" si="991"/>
        <v>1.5216875155439297E-3</v>
      </c>
      <c r="N1903" t="s">
        <v>256</v>
      </c>
      <c r="O1903" t="s">
        <v>280</v>
      </c>
      <c r="P1903" t="s">
        <v>378</v>
      </c>
      <c r="Q1903" s="4" t="s">
        <v>245</v>
      </c>
    </row>
    <row r="1904" spans="1:18" x14ac:dyDescent="0.25">
      <c r="A1904" t="s">
        <v>378</v>
      </c>
      <c r="B1904" t="s">
        <v>144</v>
      </c>
      <c r="C1904" s="4">
        <f t="shared" ref="C1904:M1904" si="992">(0.00247367761416449/(0.00247367761416449+0.832079466311379+0.0127000784696626))*2.05790005053692%</f>
        <v>6.0083351147487539E-5</v>
      </c>
      <c r="D1904" s="4">
        <f t="shared" si="992"/>
        <v>6.0083351147487539E-5</v>
      </c>
      <c r="E1904" s="4">
        <f t="shared" si="992"/>
        <v>6.0083351147487539E-5</v>
      </c>
      <c r="F1904" s="4">
        <f t="shared" si="992"/>
        <v>6.0083351147487539E-5</v>
      </c>
      <c r="G1904" s="4">
        <f t="shared" si="992"/>
        <v>6.0083351147487539E-5</v>
      </c>
      <c r="H1904" s="4">
        <f t="shared" si="992"/>
        <v>6.0083351147487539E-5</v>
      </c>
      <c r="I1904" s="4">
        <f t="shared" si="992"/>
        <v>6.0083351147487539E-5</v>
      </c>
      <c r="J1904" s="4">
        <f t="shared" si="992"/>
        <v>6.0083351147487539E-5</v>
      </c>
      <c r="K1904" s="4">
        <f t="shared" si="992"/>
        <v>6.0083351147487539E-5</v>
      </c>
      <c r="L1904" s="4">
        <f t="shared" si="992"/>
        <v>6.0083351147487539E-5</v>
      </c>
      <c r="M1904" s="4">
        <f t="shared" si="992"/>
        <v>6.0083351147487539E-5</v>
      </c>
      <c r="N1904" t="s">
        <v>242</v>
      </c>
      <c r="O1904" t="s">
        <v>380</v>
      </c>
      <c r="P1904" t="s">
        <v>378</v>
      </c>
      <c r="Q1904" s="4" t="s">
        <v>245</v>
      </c>
    </row>
    <row r="1905" spans="1:17" x14ac:dyDescent="0.25">
      <c r="A1905" t="s">
        <v>378</v>
      </c>
      <c r="B1905" t="s">
        <v>144</v>
      </c>
      <c r="C1905" s="4">
        <f t="shared" ref="C1905:M1905" si="993">(0.832079466311379/(0.00247367761416449+0.832079466311379+0.0127000784696626)) * 2.05790005053692%</f>
        <v>2.0210443944162319E-2</v>
      </c>
      <c r="D1905" s="4">
        <f t="shared" si="993"/>
        <v>2.0210443944162319E-2</v>
      </c>
      <c r="E1905" s="4">
        <f t="shared" si="993"/>
        <v>2.0210443944162319E-2</v>
      </c>
      <c r="F1905" s="4">
        <f t="shared" si="993"/>
        <v>2.0210443944162319E-2</v>
      </c>
      <c r="G1905" s="4">
        <f t="shared" si="993"/>
        <v>2.0210443944162319E-2</v>
      </c>
      <c r="H1905" s="4">
        <f t="shared" si="993"/>
        <v>2.0210443944162319E-2</v>
      </c>
      <c r="I1905" s="4">
        <f t="shared" si="993"/>
        <v>2.0210443944162319E-2</v>
      </c>
      <c r="J1905" s="4">
        <f t="shared" si="993"/>
        <v>2.0210443944162319E-2</v>
      </c>
      <c r="K1905" s="4">
        <f t="shared" si="993"/>
        <v>2.0210443944162319E-2</v>
      </c>
      <c r="L1905" s="4">
        <f t="shared" si="993"/>
        <v>2.0210443944162319E-2</v>
      </c>
      <c r="M1905" s="4">
        <f t="shared" si="993"/>
        <v>2.0210443944162319E-2</v>
      </c>
      <c r="N1905" t="s">
        <v>242</v>
      </c>
      <c r="O1905" t="s">
        <v>315</v>
      </c>
      <c r="P1905" t="s">
        <v>378</v>
      </c>
      <c r="Q1905" s="4" t="s">
        <v>245</v>
      </c>
    </row>
    <row r="1906" spans="1:17" x14ac:dyDescent="0.25">
      <c r="A1906" t="s">
        <v>378</v>
      </c>
      <c r="B1906" t="s">
        <v>144</v>
      </c>
      <c r="C1906" s="4">
        <f t="shared" ref="C1906:M1906" si="994">(0.0127000784696626/(0.00247367761416449+0.832079466311379+0.0127000784696626)) * 2.05790005053692%</f>
        <v>3.0847321005939438E-4</v>
      </c>
      <c r="D1906" s="4">
        <f t="shared" si="994"/>
        <v>3.0847321005939438E-4</v>
      </c>
      <c r="E1906" s="4">
        <f t="shared" si="994"/>
        <v>3.0847321005939438E-4</v>
      </c>
      <c r="F1906" s="4">
        <f t="shared" si="994"/>
        <v>3.0847321005939438E-4</v>
      </c>
      <c r="G1906" s="4">
        <f t="shared" si="994"/>
        <v>3.0847321005939438E-4</v>
      </c>
      <c r="H1906" s="4">
        <f t="shared" si="994"/>
        <v>3.0847321005939438E-4</v>
      </c>
      <c r="I1906" s="4">
        <f t="shared" si="994"/>
        <v>3.0847321005939438E-4</v>
      </c>
      <c r="J1906" s="4">
        <f t="shared" si="994"/>
        <v>3.0847321005939438E-4</v>
      </c>
      <c r="K1906" s="4">
        <f t="shared" si="994"/>
        <v>3.0847321005939438E-4</v>
      </c>
      <c r="L1906" s="4">
        <f t="shared" si="994"/>
        <v>3.0847321005939438E-4</v>
      </c>
      <c r="M1906" s="4">
        <f t="shared" si="994"/>
        <v>3.0847321005939438E-4</v>
      </c>
      <c r="N1906" t="s">
        <v>256</v>
      </c>
      <c r="O1906" t="s">
        <v>280</v>
      </c>
      <c r="P1906" t="s">
        <v>378</v>
      </c>
      <c r="Q1906" s="4" t="s">
        <v>245</v>
      </c>
    </row>
    <row r="1907" spans="1:17" x14ac:dyDescent="0.25">
      <c r="A1907" t="s">
        <v>378</v>
      </c>
      <c r="B1907" t="s">
        <v>84</v>
      </c>
      <c r="C1907" s="4">
        <f t="shared" ref="C1907:M1907" si="995">(0.00247367761416449/(0.00247367761416449+0.832079466311379+0.0127000784696626))*0.104461332435132%</f>
        <v>3.0498988113620556E-6</v>
      </c>
      <c r="D1907" s="4">
        <f t="shared" si="995"/>
        <v>3.0498988113620556E-6</v>
      </c>
      <c r="E1907" s="4">
        <f t="shared" si="995"/>
        <v>3.0498988113620556E-6</v>
      </c>
      <c r="F1907" s="4">
        <f t="shared" si="995"/>
        <v>3.0498988113620556E-6</v>
      </c>
      <c r="G1907" s="4">
        <f t="shared" si="995"/>
        <v>3.0498988113620556E-6</v>
      </c>
      <c r="H1907" s="4">
        <f t="shared" si="995"/>
        <v>3.0498988113620556E-6</v>
      </c>
      <c r="I1907" s="4">
        <f t="shared" si="995"/>
        <v>3.0498988113620556E-6</v>
      </c>
      <c r="J1907" s="4">
        <f t="shared" si="995"/>
        <v>3.0498988113620556E-6</v>
      </c>
      <c r="K1907" s="4">
        <f t="shared" si="995"/>
        <v>3.0498988113620556E-6</v>
      </c>
      <c r="L1907" s="4">
        <f t="shared" si="995"/>
        <v>3.0498988113620556E-6</v>
      </c>
      <c r="M1907" s="4">
        <f t="shared" si="995"/>
        <v>3.0498988113620556E-6</v>
      </c>
      <c r="N1907" t="s">
        <v>242</v>
      </c>
      <c r="O1907" t="s">
        <v>380</v>
      </c>
      <c r="P1907" t="s">
        <v>378</v>
      </c>
      <c r="Q1907" s="4" t="s">
        <v>245</v>
      </c>
    </row>
    <row r="1908" spans="1:17" x14ac:dyDescent="0.25">
      <c r="A1908" t="s">
        <v>378</v>
      </c>
      <c r="B1908" t="s">
        <v>84</v>
      </c>
      <c r="C1908" s="4">
        <f t="shared" ref="C1908:M1908" si="996">(0.832079466311379/(0.00247367761416449+0.832079466311379+0.0127000784696626)) * 0.104461332435132%</f>
        <v>1.0259049767562382E-3</v>
      </c>
      <c r="D1908" s="4">
        <f t="shared" si="996"/>
        <v>1.0259049767562382E-3</v>
      </c>
      <c r="E1908" s="4">
        <f t="shared" si="996"/>
        <v>1.0259049767562382E-3</v>
      </c>
      <c r="F1908" s="4">
        <f t="shared" si="996"/>
        <v>1.0259049767562382E-3</v>
      </c>
      <c r="G1908" s="4">
        <f t="shared" si="996"/>
        <v>1.0259049767562382E-3</v>
      </c>
      <c r="H1908" s="4">
        <f t="shared" si="996"/>
        <v>1.0259049767562382E-3</v>
      </c>
      <c r="I1908" s="4">
        <f t="shared" si="996"/>
        <v>1.0259049767562382E-3</v>
      </c>
      <c r="J1908" s="4">
        <f t="shared" si="996"/>
        <v>1.0259049767562382E-3</v>
      </c>
      <c r="K1908" s="4">
        <f t="shared" si="996"/>
        <v>1.0259049767562382E-3</v>
      </c>
      <c r="L1908" s="4">
        <f t="shared" si="996"/>
        <v>1.0259049767562382E-3</v>
      </c>
      <c r="M1908" s="4">
        <f t="shared" si="996"/>
        <v>1.0259049767562382E-3</v>
      </c>
      <c r="N1908" t="s">
        <v>242</v>
      </c>
      <c r="O1908" t="s">
        <v>315</v>
      </c>
      <c r="P1908" t="s">
        <v>378</v>
      </c>
      <c r="Q1908" s="4" t="s">
        <v>245</v>
      </c>
    </row>
    <row r="1909" spans="1:17" x14ac:dyDescent="0.25">
      <c r="A1909" t="s">
        <v>378</v>
      </c>
      <c r="B1909" t="s">
        <v>84</v>
      </c>
      <c r="C1909" s="4">
        <f t="shared" ref="C1909:M1909" si="997">(0.0127000784696626/(0.00247367761416449+0.832079466311379+0.0127000784696626)) * 0.104461332435132%</f>
        <v>1.5658448783719776E-5</v>
      </c>
      <c r="D1909" s="4">
        <f t="shared" si="997"/>
        <v>1.5658448783719776E-5</v>
      </c>
      <c r="E1909" s="4">
        <f t="shared" si="997"/>
        <v>1.5658448783719776E-5</v>
      </c>
      <c r="F1909" s="4">
        <f t="shared" si="997"/>
        <v>1.5658448783719776E-5</v>
      </c>
      <c r="G1909" s="4">
        <f t="shared" si="997"/>
        <v>1.5658448783719776E-5</v>
      </c>
      <c r="H1909" s="4">
        <f t="shared" si="997"/>
        <v>1.5658448783719776E-5</v>
      </c>
      <c r="I1909" s="4">
        <f t="shared" si="997"/>
        <v>1.5658448783719776E-5</v>
      </c>
      <c r="J1909" s="4">
        <f t="shared" si="997"/>
        <v>1.5658448783719776E-5</v>
      </c>
      <c r="K1909" s="4">
        <f t="shared" si="997"/>
        <v>1.5658448783719776E-5</v>
      </c>
      <c r="L1909" s="4">
        <f t="shared" si="997"/>
        <v>1.5658448783719776E-5</v>
      </c>
      <c r="M1909" s="4">
        <f t="shared" si="997"/>
        <v>1.5658448783719776E-5</v>
      </c>
      <c r="N1909" t="s">
        <v>256</v>
      </c>
      <c r="O1909" t="s">
        <v>280</v>
      </c>
      <c r="P1909" t="s">
        <v>378</v>
      </c>
      <c r="Q1909" s="4" t="s">
        <v>245</v>
      </c>
    </row>
    <row r="1910" spans="1:17" x14ac:dyDescent="0.25">
      <c r="A1910" t="s">
        <v>378</v>
      </c>
      <c r="B1910" t="s">
        <v>85</v>
      </c>
      <c r="C1910" s="4">
        <f t="shared" ref="C1910:M1910" si="998">(0.00247367761416449/(0.00247367761416449+0.832079466311379+0.0127000784696626))*0.13608515519626%</f>
        <v>3.9732017905747833E-6</v>
      </c>
      <c r="D1910" s="4">
        <f t="shared" si="998"/>
        <v>3.9732017905747833E-6</v>
      </c>
      <c r="E1910" s="4">
        <f t="shared" si="998"/>
        <v>3.9732017905747833E-6</v>
      </c>
      <c r="F1910" s="4">
        <f t="shared" si="998"/>
        <v>3.9732017905747833E-6</v>
      </c>
      <c r="G1910" s="4">
        <f t="shared" si="998"/>
        <v>3.9732017905747833E-6</v>
      </c>
      <c r="H1910" s="4">
        <f t="shared" si="998"/>
        <v>3.9732017905747833E-6</v>
      </c>
      <c r="I1910" s="4">
        <f t="shared" si="998"/>
        <v>3.9732017905747833E-6</v>
      </c>
      <c r="J1910" s="4">
        <f t="shared" si="998"/>
        <v>3.9732017905747833E-6</v>
      </c>
      <c r="K1910" s="4">
        <f t="shared" si="998"/>
        <v>3.9732017905747833E-6</v>
      </c>
      <c r="L1910" s="4">
        <f t="shared" si="998"/>
        <v>3.9732017905747833E-6</v>
      </c>
      <c r="M1910" s="4">
        <f t="shared" si="998"/>
        <v>3.9732017905747833E-6</v>
      </c>
      <c r="N1910" t="s">
        <v>242</v>
      </c>
      <c r="O1910" t="s">
        <v>380</v>
      </c>
      <c r="P1910" t="s">
        <v>378</v>
      </c>
      <c r="Q1910" s="4" t="s">
        <v>245</v>
      </c>
    </row>
    <row r="1911" spans="1:17" x14ac:dyDescent="0.25">
      <c r="A1911" t="s">
        <v>378</v>
      </c>
      <c r="B1911" t="s">
        <v>85</v>
      </c>
      <c r="C1911" s="4">
        <f t="shared" ref="C1911:M1911" si="999">(0.832079466311379/(0.00247367761416449+0.832079466311379+0.0127000784696626)) * 0.13608515519626%</f>
        <v>1.3364795826741242E-3</v>
      </c>
      <c r="D1911" s="4">
        <f t="shared" si="999"/>
        <v>1.3364795826741242E-3</v>
      </c>
      <c r="E1911" s="4">
        <f t="shared" si="999"/>
        <v>1.3364795826741242E-3</v>
      </c>
      <c r="F1911" s="4">
        <f t="shared" si="999"/>
        <v>1.3364795826741242E-3</v>
      </c>
      <c r="G1911" s="4">
        <f t="shared" si="999"/>
        <v>1.3364795826741242E-3</v>
      </c>
      <c r="H1911" s="4">
        <f t="shared" si="999"/>
        <v>1.3364795826741242E-3</v>
      </c>
      <c r="I1911" s="4">
        <f t="shared" si="999"/>
        <v>1.3364795826741242E-3</v>
      </c>
      <c r="J1911" s="4">
        <f t="shared" si="999"/>
        <v>1.3364795826741242E-3</v>
      </c>
      <c r="K1911" s="4">
        <f t="shared" si="999"/>
        <v>1.3364795826741242E-3</v>
      </c>
      <c r="L1911" s="4">
        <f t="shared" si="999"/>
        <v>1.3364795826741242E-3</v>
      </c>
      <c r="M1911" s="4">
        <f t="shared" si="999"/>
        <v>1.3364795826741242E-3</v>
      </c>
      <c r="N1911" t="s">
        <v>242</v>
      </c>
      <c r="O1911" t="s">
        <v>315</v>
      </c>
      <c r="P1911" t="s">
        <v>378</v>
      </c>
      <c r="Q1911" s="4" t="s">
        <v>245</v>
      </c>
    </row>
    <row r="1912" spans="1:17" x14ac:dyDescent="0.25">
      <c r="A1912" t="s">
        <v>378</v>
      </c>
      <c r="B1912" t="s">
        <v>85</v>
      </c>
      <c r="C1912" s="4">
        <f t="shared" ref="C1912:M1912" si="1000">(0.0127000784696626/(0.00247367761416449+0.832079466311379+0.0127000784696626)) * 0.13608515519626%</f>
        <v>2.0398767497900923E-5</v>
      </c>
      <c r="D1912" s="4">
        <f t="shared" si="1000"/>
        <v>2.0398767497900923E-5</v>
      </c>
      <c r="E1912" s="4">
        <f t="shared" si="1000"/>
        <v>2.0398767497900923E-5</v>
      </c>
      <c r="F1912" s="4">
        <f t="shared" si="1000"/>
        <v>2.0398767497900923E-5</v>
      </c>
      <c r="G1912" s="4">
        <f t="shared" si="1000"/>
        <v>2.0398767497900923E-5</v>
      </c>
      <c r="H1912" s="4">
        <f t="shared" si="1000"/>
        <v>2.0398767497900923E-5</v>
      </c>
      <c r="I1912" s="4">
        <f t="shared" si="1000"/>
        <v>2.0398767497900923E-5</v>
      </c>
      <c r="J1912" s="4">
        <f t="shared" si="1000"/>
        <v>2.0398767497900923E-5</v>
      </c>
      <c r="K1912" s="4">
        <f t="shared" si="1000"/>
        <v>2.0398767497900923E-5</v>
      </c>
      <c r="L1912" s="4">
        <f t="shared" si="1000"/>
        <v>2.0398767497900923E-5</v>
      </c>
      <c r="M1912" s="4">
        <f t="shared" si="1000"/>
        <v>2.0398767497900923E-5</v>
      </c>
      <c r="N1912" t="s">
        <v>256</v>
      </c>
      <c r="O1912" t="s">
        <v>280</v>
      </c>
      <c r="P1912" t="s">
        <v>378</v>
      </c>
      <c r="Q1912" s="4" t="s">
        <v>245</v>
      </c>
    </row>
    <row r="1913" spans="1:17" x14ac:dyDescent="0.25">
      <c r="A1913" t="s">
        <v>378</v>
      </c>
      <c r="B1913" t="s">
        <v>147</v>
      </c>
      <c r="C1913" s="4">
        <f t="shared" ref="C1913:M1913" si="1001">(0.00247367761416449/(0.00247367761416449+0.832079466311379+0.0127000784696626))*0.388223402048454%</f>
        <v>1.1334740471415824E-5</v>
      </c>
      <c r="D1913" s="4">
        <f t="shared" si="1001"/>
        <v>1.1334740471415824E-5</v>
      </c>
      <c r="E1913" s="4">
        <f t="shared" si="1001"/>
        <v>1.1334740471415824E-5</v>
      </c>
      <c r="F1913" s="4">
        <f t="shared" si="1001"/>
        <v>1.1334740471415824E-5</v>
      </c>
      <c r="G1913" s="4">
        <f t="shared" si="1001"/>
        <v>1.1334740471415824E-5</v>
      </c>
      <c r="H1913" s="4">
        <f t="shared" si="1001"/>
        <v>1.1334740471415824E-5</v>
      </c>
      <c r="I1913" s="4">
        <f t="shared" si="1001"/>
        <v>1.1334740471415824E-5</v>
      </c>
      <c r="J1913" s="4">
        <f t="shared" si="1001"/>
        <v>1.1334740471415824E-5</v>
      </c>
      <c r="K1913" s="4">
        <f t="shared" si="1001"/>
        <v>1.1334740471415824E-5</v>
      </c>
      <c r="L1913" s="4">
        <f t="shared" si="1001"/>
        <v>1.1334740471415824E-5</v>
      </c>
      <c r="M1913" s="4">
        <f t="shared" si="1001"/>
        <v>1.1334740471415824E-5</v>
      </c>
      <c r="N1913" t="s">
        <v>242</v>
      </c>
      <c r="O1913" t="s">
        <v>380</v>
      </c>
      <c r="P1913" t="s">
        <v>378</v>
      </c>
      <c r="Q1913" s="4" t="s">
        <v>245</v>
      </c>
    </row>
    <row r="1914" spans="1:17" x14ac:dyDescent="0.25">
      <c r="A1914" t="s">
        <v>378</v>
      </c>
      <c r="B1914" t="s">
        <v>147</v>
      </c>
      <c r="C1914" s="4">
        <f t="shared" ref="C1914:M1914" si="1002">(0.832079466311379/(0.00247367761416449+0.832079466311379+0.0127000784696626)) * 0.388223402048454%</f>
        <v>3.8127057253655992E-3</v>
      </c>
      <c r="D1914" s="4">
        <f t="shared" si="1002"/>
        <v>3.8127057253655992E-3</v>
      </c>
      <c r="E1914" s="4">
        <f t="shared" si="1002"/>
        <v>3.8127057253655992E-3</v>
      </c>
      <c r="F1914" s="4">
        <f t="shared" si="1002"/>
        <v>3.8127057253655992E-3</v>
      </c>
      <c r="G1914" s="4">
        <f t="shared" si="1002"/>
        <v>3.8127057253655992E-3</v>
      </c>
      <c r="H1914" s="4">
        <f t="shared" si="1002"/>
        <v>3.8127057253655992E-3</v>
      </c>
      <c r="I1914" s="4">
        <f t="shared" si="1002"/>
        <v>3.8127057253655992E-3</v>
      </c>
      <c r="J1914" s="4">
        <f t="shared" si="1002"/>
        <v>3.8127057253655992E-3</v>
      </c>
      <c r="K1914" s="4">
        <f t="shared" si="1002"/>
        <v>3.8127057253655992E-3</v>
      </c>
      <c r="L1914" s="4">
        <f t="shared" si="1002"/>
        <v>3.8127057253655992E-3</v>
      </c>
      <c r="M1914" s="4">
        <f t="shared" si="1002"/>
        <v>3.8127057253655992E-3</v>
      </c>
      <c r="N1914" t="s">
        <v>242</v>
      </c>
      <c r="O1914" t="s">
        <v>315</v>
      </c>
      <c r="P1914" t="s">
        <v>378</v>
      </c>
      <c r="Q1914" s="4" t="s">
        <v>245</v>
      </c>
    </row>
    <row r="1915" spans="1:17" x14ac:dyDescent="0.25">
      <c r="A1915" t="s">
        <v>378</v>
      </c>
      <c r="B1915" t="s">
        <v>147</v>
      </c>
      <c r="C1915" s="4">
        <f t="shared" ref="C1915:M1915" si="1003">(0.0127000784696626/(0.00247367761416449+0.832079466311379+0.0127000784696626)) * 0.388223402048454%</f>
        <v>5.8193554647525367E-5</v>
      </c>
      <c r="D1915" s="4">
        <f t="shared" si="1003"/>
        <v>5.8193554647525367E-5</v>
      </c>
      <c r="E1915" s="4">
        <f t="shared" si="1003"/>
        <v>5.8193554647525367E-5</v>
      </c>
      <c r="F1915" s="4">
        <f t="shared" si="1003"/>
        <v>5.8193554647525367E-5</v>
      </c>
      <c r="G1915" s="4">
        <f t="shared" si="1003"/>
        <v>5.8193554647525367E-5</v>
      </c>
      <c r="H1915" s="4">
        <f t="shared" si="1003"/>
        <v>5.8193554647525367E-5</v>
      </c>
      <c r="I1915" s="4">
        <f t="shared" si="1003"/>
        <v>5.8193554647525367E-5</v>
      </c>
      <c r="J1915" s="4">
        <f t="shared" si="1003"/>
        <v>5.8193554647525367E-5</v>
      </c>
      <c r="K1915" s="4">
        <f t="shared" si="1003"/>
        <v>5.8193554647525367E-5</v>
      </c>
      <c r="L1915" s="4">
        <f t="shared" si="1003"/>
        <v>5.8193554647525367E-5</v>
      </c>
      <c r="M1915" s="4">
        <f t="shared" si="1003"/>
        <v>5.8193554647525367E-5</v>
      </c>
      <c r="N1915" t="s">
        <v>256</v>
      </c>
      <c r="O1915" t="s">
        <v>280</v>
      </c>
      <c r="P1915" t="s">
        <v>378</v>
      </c>
      <c r="Q1915" s="4" t="s">
        <v>245</v>
      </c>
    </row>
    <row r="1916" spans="1:17" x14ac:dyDescent="0.25">
      <c r="A1916" t="s">
        <v>378</v>
      </c>
      <c r="B1916" t="s">
        <v>116</v>
      </c>
      <c r="C1916" s="4">
        <v>4.0464068999465953E-3</v>
      </c>
      <c r="D1916" s="4">
        <v>4.0464068999465953E-3</v>
      </c>
      <c r="E1916" s="4">
        <v>4.0464068999465953E-3</v>
      </c>
      <c r="F1916" s="4">
        <v>4.0464068999465953E-3</v>
      </c>
      <c r="G1916" s="4">
        <v>4.0464068999465953E-3</v>
      </c>
      <c r="H1916" s="4">
        <v>4.0464068999465953E-3</v>
      </c>
      <c r="I1916" s="4">
        <v>4.0464068999465953E-3</v>
      </c>
      <c r="J1916" s="4">
        <v>4.0464068999465953E-3</v>
      </c>
      <c r="K1916" s="4">
        <v>4.0464068999465953E-3</v>
      </c>
      <c r="L1916" s="4">
        <v>4.0464068999465953E-3</v>
      </c>
      <c r="M1916" s="4">
        <v>4.0464068999465953E-3</v>
      </c>
      <c r="N1916" t="s">
        <v>288</v>
      </c>
      <c r="O1916" t="s">
        <v>309</v>
      </c>
      <c r="P1916" t="s">
        <v>378</v>
      </c>
      <c r="Q1916" s="4" t="s">
        <v>245</v>
      </c>
    </row>
    <row r="1917" spans="1:17" x14ac:dyDescent="0.25">
      <c r="A1917" t="s">
        <v>378</v>
      </c>
      <c r="B1917" t="s">
        <v>145</v>
      </c>
      <c r="C1917" s="4">
        <f t="shared" ref="C1917:M1917" si="1004">(0.00247367761416449/(0.00247367761416449+0.832079466311379+0.0127000784696626))*0.017697976276407%</f>
        <v>5.167178663209758E-7</v>
      </c>
      <c r="D1917" s="4">
        <f t="shared" si="1004"/>
        <v>5.167178663209758E-7</v>
      </c>
      <c r="E1917" s="4">
        <f t="shared" si="1004"/>
        <v>5.167178663209758E-7</v>
      </c>
      <c r="F1917" s="4">
        <f t="shared" si="1004"/>
        <v>5.167178663209758E-7</v>
      </c>
      <c r="G1917" s="4">
        <f t="shared" si="1004"/>
        <v>5.167178663209758E-7</v>
      </c>
      <c r="H1917" s="4">
        <f t="shared" si="1004"/>
        <v>5.167178663209758E-7</v>
      </c>
      <c r="I1917" s="4">
        <f t="shared" si="1004"/>
        <v>5.167178663209758E-7</v>
      </c>
      <c r="J1917" s="4">
        <f t="shared" si="1004"/>
        <v>5.167178663209758E-7</v>
      </c>
      <c r="K1917" s="4">
        <f t="shared" si="1004"/>
        <v>5.167178663209758E-7</v>
      </c>
      <c r="L1917" s="4">
        <f t="shared" si="1004"/>
        <v>5.167178663209758E-7</v>
      </c>
      <c r="M1917" s="4">
        <f t="shared" si="1004"/>
        <v>5.167178663209758E-7</v>
      </c>
      <c r="N1917" t="s">
        <v>242</v>
      </c>
      <c r="O1917" t="s">
        <v>380</v>
      </c>
      <c r="P1917" t="s">
        <v>378</v>
      </c>
      <c r="Q1917" s="4" t="s">
        <v>245</v>
      </c>
    </row>
    <row r="1918" spans="1:17" x14ac:dyDescent="0.25">
      <c r="A1918" t="s">
        <v>378</v>
      </c>
      <c r="B1918" t="s">
        <v>145</v>
      </c>
      <c r="C1918" s="4">
        <f t="shared" ref="C1918:M1918" si="1005">(0.832079466311379/(0.00247367761416449+0.832079466311379+0.0127000784696626)) * 0.017697976276407%</f>
        <v>1.7381016991865862E-4</v>
      </c>
      <c r="D1918" s="4">
        <f t="shared" si="1005"/>
        <v>1.7381016991865862E-4</v>
      </c>
      <c r="E1918" s="4">
        <f t="shared" si="1005"/>
        <v>1.7381016991865862E-4</v>
      </c>
      <c r="F1918" s="4">
        <f t="shared" si="1005"/>
        <v>1.7381016991865862E-4</v>
      </c>
      <c r="G1918" s="4">
        <f t="shared" si="1005"/>
        <v>1.7381016991865862E-4</v>
      </c>
      <c r="H1918" s="4">
        <f t="shared" si="1005"/>
        <v>1.7381016991865862E-4</v>
      </c>
      <c r="I1918" s="4">
        <f t="shared" si="1005"/>
        <v>1.7381016991865862E-4</v>
      </c>
      <c r="J1918" s="4">
        <f t="shared" si="1005"/>
        <v>1.7381016991865862E-4</v>
      </c>
      <c r="K1918" s="4">
        <f t="shared" si="1005"/>
        <v>1.7381016991865862E-4</v>
      </c>
      <c r="L1918" s="4">
        <f t="shared" si="1005"/>
        <v>1.7381016991865862E-4</v>
      </c>
      <c r="M1918" s="4">
        <f t="shared" si="1005"/>
        <v>1.7381016991865862E-4</v>
      </c>
      <c r="N1918" t="s">
        <v>242</v>
      </c>
      <c r="O1918" t="s">
        <v>315</v>
      </c>
      <c r="P1918" t="s">
        <v>378</v>
      </c>
      <c r="Q1918" s="4" t="s">
        <v>245</v>
      </c>
    </row>
    <row r="1919" spans="1:17" x14ac:dyDescent="0.25">
      <c r="A1919" t="s">
        <v>378</v>
      </c>
      <c r="B1919" t="s">
        <v>145</v>
      </c>
      <c r="C1919" s="4">
        <f t="shared" ref="C1919:M1919" si="1006">(0.0127000784696626/(0.00247367761416449+0.832079466311379+0.0127000784696626)) * 0.017697976276407%</f>
        <v>2.6528749790904043E-6</v>
      </c>
      <c r="D1919" s="4">
        <f t="shared" si="1006"/>
        <v>2.6528749790904043E-6</v>
      </c>
      <c r="E1919" s="4">
        <f t="shared" si="1006"/>
        <v>2.6528749790904043E-6</v>
      </c>
      <c r="F1919" s="4">
        <f t="shared" si="1006"/>
        <v>2.6528749790904043E-6</v>
      </c>
      <c r="G1919" s="4">
        <f t="shared" si="1006"/>
        <v>2.6528749790904043E-6</v>
      </c>
      <c r="H1919" s="4">
        <f t="shared" si="1006"/>
        <v>2.6528749790904043E-6</v>
      </c>
      <c r="I1919" s="4">
        <f t="shared" si="1006"/>
        <v>2.6528749790904043E-6</v>
      </c>
      <c r="J1919" s="4">
        <f t="shared" si="1006"/>
        <v>2.6528749790904043E-6</v>
      </c>
      <c r="K1919" s="4">
        <f t="shared" si="1006"/>
        <v>2.6528749790904043E-6</v>
      </c>
      <c r="L1919" s="4">
        <f t="shared" si="1006"/>
        <v>2.6528749790904043E-6</v>
      </c>
      <c r="M1919" s="4">
        <f t="shared" si="1006"/>
        <v>2.6528749790904043E-6</v>
      </c>
      <c r="N1919" t="s">
        <v>256</v>
      </c>
      <c r="O1919" t="s">
        <v>280</v>
      </c>
      <c r="P1919" t="s">
        <v>378</v>
      </c>
      <c r="Q1919" s="4" t="s">
        <v>245</v>
      </c>
    </row>
    <row r="1920" spans="1:17" x14ac:dyDescent="0.25">
      <c r="A1920" t="s">
        <v>378</v>
      </c>
      <c r="B1920" t="s">
        <v>86</v>
      </c>
      <c r="C1920" s="4">
        <f t="shared" ref="C1920:M1920" si="1007">(0.00247367761416449/(0.00247367761416449+0.832079466311379+0.0127000784696626))*41.5317740523103%</f>
        <v>1.2125798643680546E-3</v>
      </c>
      <c r="D1920" s="4">
        <f t="shared" si="1007"/>
        <v>1.2125798643680546E-3</v>
      </c>
      <c r="E1920" s="4">
        <f t="shared" si="1007"/>
        <v>1.2125798643680546E-3</v>
      </c>
      <c r="F1920" s="4">
        <f t="shared" si="1007"/>
        <v>1.2125798643680546E-3</v>
      </c>
      <c r="G1920" s="4">
        <f t="shared" si="1007"/>
        <v>1.2125798643680546E-3</v>
      </c>
      <c r="H1920" s="4">
        <f t="shared" si="1007"/>
        <v>1.2125798643680546E-3</v>
      </c>
      <c r="I1920" s="4">
        <f t="shared" si="1007"/>
        <v>1.2125798643680546E-3</v>
      </c>
      <c r="J1920" s="4">
        <f t="shared" si="1007"/>
        <v>1.2125798643680546E-3</v>
      </c>
      <c r="K1920" s="4">
        <f t="shared" si="1007"/>
        <v>1.2125798643680546E-3</v>
      </c>
      <c r="L1920" s="4">
        <f t="shared" si="1007"/>
        <v>1.2125798643680546E-3</v>
      </c>
      <c r="M1920" s="4">
        <f t="shared" si="1007"/>
        <v>1.2125798643680546E-3</v>
      </c>
      <c r="N1920" t="s">
        <v>242</v>
      </c>
      <c r="O1920" t="s">
        <v>380</v>
      </c>
      <c r="P1920" t="s">
        <v>378</v>
      </c>
      <c r="Q1920" s="4" t="s">
        <v>245</v>
      </c>
    </row>
    <row r="1921" spans="1:17" x14ac:dyDescent="0.25">
      <c r="A1921" t="s">
        <v>378</v>
      </c>
      <c r="B1921" t="s">
        <v>86</v>
      </c>
      <c r="C1921" s="4">
        <f t="shared" ref="C1921:M1921" si="1008">(0.832079466311379/(0.00247367761416449+0.832079466311379+0.0127000784696626)) * 41.5317740523103%</f>
        <v>0.40787966896975081</v>
      </c>
      <c r="D1921" s="4">
        <f t="shared" si="1008"/>
        <v>0.40787966896975081</v>
      </c>
      <c r="E1921" s="4">
        <f t="shared" si="1008"/>
        <v>0.40787966896975081</v>
      </c>
      <c r="F1921" s="4">
        <f t="shared" si="1008"/>
        <v>0.40787966896975081</v>
      </c>
      <c r="G1921" s="4">
        <f t="shared" si="1008"/>
        <v>0.40787966896975081</v>
      </c>
      <c r="H1921" s="4">
        <f t="shared" si="1008"/>
        <v>0.40787966896975081</v>
      </c>
      <c r="I1921" s="4">
        <f t="shared" si="1008"/>
        <v>0.40787966896975081</v>
      </c>
      <c r="J1921" s="4">
        <f t="shared" si="1008"/>
        <v>0.40787966896975081</v>
      </c>
      <c r="K1921" s="4">
        <f t="shared" si="1008"/>
        <v>0.40787966896975081</v>
      </c>
      <c r="L1921" s="4">
        <f t="shared" si="1008"/>
        <v>0.40787966896975081</v>
      </c>
      <c r="M1921" s="4">
        <f t="shared" si="1008"/>
        <v>0.40787966896975081</v>
      </c>
      <c r="N1921" t="s">
        <v>242</v>
      </c>
      <c r="O1921" t="s">
        <v>315</v>
      </c>
      <c r="P1921" t="s">
        <v>378</v>
      </c>
      <c r="Q1921" s="4" t="s">
        <v>245</v>
      </c>
    </row>
    <row r="1922" spans="1:17" x14ac:dyDescent="0.25">
      <c r="A1922" t="s">
        <v>378</v>
      </c>
      <c r="B1922" t="s">
        <v>86</v>
      </c>
      <c r="C1922" s="4">
        <f t="shared" ref="C1922:M1922" si="1009">(0.0127000784696626/(0.00247367761416449+0.832079466311379+0.0127000784696626)) * 41.5317740523103%</f>
        <v>6.2254916889841307E-3</v>
      </c>
      <c r="D1922" s="4">
        <f t="shared" si="1009"/>
        <v>6.2254916889841307E-3</v>
      </c>
      <c r="E1922" s="4">
        <f t="shared" si="1009"/>
        <v>6.2254916889841307E-3</v>
      </c>
      <c r="F1922" s="4">
        <f t="shared" si="1009"/>
        <v>6.2254916889841307E-3</v>
      </c>
      <c r="G1922" s="4">
        <f t="shared" si="1009"/>
        <v>6.2254916889841307E-3</v>
      </c>
      <c r="H1922" s="4">
        <f t="shared" si="1009"/>
        <v>6.2254916889841307E-3</v>
      </c>
      <c r="I1922" s="4">
        <f t="shared" si="1009"/>
        <v>6.2254916889841307E-3</v>
      </c>
      <c r="J1922" s="4">
        <f t="shared" si="1009"/>
        <v>6.2254916889841307E-3</v>
      </c>
      <c r="K1922" s="4">
        <f t="shared" si="1009"/>
        <v>6.2254916889841307E-3</v>
      </c>
      <c r="L1922" s="4">
        <f t="shared" si="1009"/>
        <v>6.2254916889841307E-3</v>
      </c>
      <c r="M1922" s="4">
        <f t="shared" si="1009"/>
        <v>6.2254916889841307E-3</v>
      </c>
      <c r="N1922" t="s">
        <v>256</v>
      </c>
      <c r="O1922" t="s">
        <v>280</v>
      </c>
      <c r="P1922" t="s">
        <v>378</v>
      </c>
      <c r="Q1922" s="4" t="s">
        <v>245</v>
      </c>
    </row>
    <row r="1923" spans="1:17" x14ac:dyDescent="0.25">
      <c r="A1923" t="s">
        <v>378</v>
      </c>
      <c r="B1923" t="s">
        <v>160</v>
      </c>
      <c r="C1923" s="4">
        <f t="shared" ref="C1923:M1923" si="1010">(0.00247367761416449/(0.00247367761416449+0.832079466311379+0.0127000784696626))*0.532818796763154%</f>
        <v>1.5556410942091104E-5</v>
      </c>
      <c r="D1923" s="4">
        <f t="shared" si="1010"/>
        <v>1.5556410942091104E-5</v>
      </c>
      <c r="E1923" s="4">
        <f t="shared" si="1010"/>
        <v>1.5556410942091104E-5</v>
      </c>
      <c r="F1923" s="4">
        <f t="shared" si="1010"/>
        <v>1.5556410942091104E-5</v>
      </c>
      <c r="G1923" s="4">
        <f t="shared" si="1010"/>
        <v>1.5556410942091104E-5</v>
      </c>
      <c r="H1923" s="4">
        <f t="shared" si="1010"/>
        <v>1.5556410942091104E-5</v>
      </c>
      <c r="I1923" s="4">
        <f t="shared" si="1010"/>
        <v>1.5556410942091104E-5</v>
      </c>
      <c r="J1923" s="4">
        <f t="shared" si="1010"/>
        <v>1.5556410942091104E-5</v>
      </c>
      <c r="K1923" s="4">
        <f t="shared" si="1010"/>
        <v>1.5556410942091104E-5</v>
      </c>
      <c r="L1923" s="4">
        <f t="shared" si="1010"/>
        <v>1.5556410942091104E-5</v>
      </c>
      <c r="M1923" s="4">
        <f t="shared" si="1010"/>
        <v>1.5556410942091104E-5</v>
      </c>
      <c r="N1923" t="s">
        <v>242</v>
      </c>
      <c r="O1923" t="s">
        <v>380</v>
      </c>
      <c r="P1923" t="s">
        <v>378</v>
      </c>
      <c r="Q1923" s="4" t="s">
        <v>245</v>
      </c>
    </row>
    <row r="1924" spans="1:17" x14ac:dyDescent="0.25">
      <c r="A1924" t="s">
        <v>378</v>
      </c>
      <c r="B1924" t="s">
        <v>160</v>
      </c>
      <c r="C1924" s="4">
        <f t="shared" ref="C1924:M1924" si="1011">(0.832079466311379/(0.00247367761416449+0.832079466311379+0.0127000784696626)) * 0.532818796763154%</f>
        <v>5.2327635744836894E-3</v>
      </c>
      <c r="D1924" s="4">
        <f t="shared" si="1011"/>
        <v>5.2327635744836894E-3</v>
      </c>
      <c r="E1924" s="4">
        <f t="shared" si="1011"/>
        <v>5.2327635744836894E-3</v>
      </c>
      <c r="F1924" s="4">
        <f t="shared" si="1011"/>
        <v>5.2327635744836894E-3</v>
      </c>
      <c r="G1924" s="4">
        <f t="shared" si="1011"/>
        <v>5.2327635744836894E-3</v>
      </c>
      <c r="H1924" s="4">
        <f t="shared" si="1011"/>
        <v>5.2327635744836894E-3</v>
      </c>
      <c r="I1924" s="4">
        <f t="shared" si="1011"/>
        <v>5.2327635744836894E-3</v>
      </c>
      <c r="J1924" s="4">
        <f t="shared" si="1011"/>
        <v>5.2327635744836894E-3</v>
      </c>
      <c r="K1924" s="4">
        <f t="shared" si="1011"/>
        <v>5.2327635744836894E-3</v>
      </c>
      <c r="L1924" s="4">
        <f t="shared" si="1011"/>
        <v>5.2327635744836894E-3</v>
      </c>
      <c r="M1924" s="4">
        <f t="shared" si="1011"/>
        <v>5.2327635744836894E-3</v>
      </c>
      <c r="N1924" t="s">
        <v>242</v>
      </c>
      <c r="O1924" t="s">
        <v>315</v>
      </c>
      <c r="P1924" t="s">
        <v>378</v>
      </c>
      <c r="Q1924" s="4" t="s">
        <v>245</v>
      </c>
    </row>
    <row r="1925" spans="1:17" x14ac:dyDescent="0.25">
      <c r="A1925" t="s">
        <v>378</v>
      </c>
      <c r="B1925" t="s">
        <v>160</v>
      </c>
      <c r="C1925" s="4">
        <f t="shared" ref="C1925:M1925" si="1012">(0.0127000784696626/(0.00247367761416449+0.832079466311379+0.0127000784696626)) * 0.532818796763154%</f>
        <v>7.986798220575942E-5</v>
      </c>
      <c r="D1925" s="4">
        <f t="shared" si="1012"/>
        <v>7.986798220575942E-5</v>
      </c>
      <c r="E1925" s="4">
        <f t="shared" si="1012"/>
        <v>7.986798220575942E-5</v>
      </c>
      <c r="F1925" s="4">
        <f t="shared" si="1012"/>
        <v>7.986798220575942E-5</v>
      </c>
      <c r="G1925" s="4">
        <f t="shared" si="1012"/>
        <v>7.986798220575942E-5</v>
      </c>
      <c r="H1925" s="4">
        <f t="shared" si="1012"/>
        <v>7.986798220575942E-5</v>
      </c>
      <c r="I1925" s="4">
        <f t="shared" si="1012"/>
        <v>7.986798220575942E-5</v>
      </c>
      <c r="J1925" s="4">
        <f t="shared" si="1012"/>
        <v>7.986798220575942E-5</v>
      </c>
      <c r="K1925" s="4">
        <f t="shared" si="1012"/>
        <v>7.986798220575942E-5</v>
      </c>
      <c r="L1925" s="4">
        <f t="shared" si="1012"/>
        <v>7.986798220575942E-5</v>
      </c>
      <c r="M1925" s="4">
        <f t="shared" si="1012"/>
        <v>7.986798220575942E-5</v>
      </c>
      <c r="N1925" t="s">
        <v>256</v>
      </c>
      <c r="O1925" t="s">
        <v>280</v>
      </c>
      <c r="P1925" t="s">
        <v>378</v>
      </c>
      <c r="Q1925" s="4" t="s">
        <v>245</v>
      </c>
    </row>
    <row r="1926" spans="1:17" x14ac:dyDescent="0.25">
      <c r="A1926" t="s">
        <v>378</v>
      </c>
      <c r="B1926" t="s">
        <v>154</v>
      </c>
      <c r="C1926" s="4">
        <f t="shared" ref="C1926:M1926" si="1013">(0.00247367761416449/(0.00247367761416449+0.832079466311379+0.0127000784696626))*0.0173133326823532%</f>
        <v>5.0548764349157434E-7</v>
      </c>
      <c r="D1926" s="4">
        <f t="shared" si="1013"/>
        <v>5.0548764349157434E-7</v>
      </c>
      <c r="E1926" s="4">
        <f t="shared" si="1013"/>
        <v>5.0548764349157434E-7</v>
      </c>
      <c r="F1926" s="4">
        <f t="shared" si="1013"/>
        <v>5.0548764349157434E-7</v>
      </c>
      <c r="G1926" s="4">
        <f t="shared" si="1013"/>
        <v>5.0548764349157434E-7</v>
      </c>
      <c r="H1926" s="4">
        <f t="shared" si="1013"/>
        <v>5.0548764349157434E-7</v>
      </c>
      <c r="I1926" s="4">
        <f t="shared" si="1013"/>
        <v>5.0548764349157434E-7</v>
      </c>
      <c r="J1926" s="4">
        <f t="shared" si="1013"/>
        <v>5.0548764349157434E-7</v>
      </c>
      <c r="K1926" s="4">
        <f t="shared" si="1013"/>
        <v>5.0548764349157434E-7</v>
      </c>
      <c r="L1926" s="4">
        <f t="shared" si="1013"/>
        <v>5.0548764349157434E-7</v>
      </c>
      <c r="M1926" s="4">
        <f t="shared" si="1013"/>
        <v>5.0548764349157434E-7</v>
      </c>
      <c r="N1926" t="s">
        <v>242</v>
      </c>
      <c r="O1926" t="s">
        <v>380</v>
      </c>
      <c r="P1926" t="s">
        <v>378</v>
      </c>
      <c r="Q1926" s="4" t="s">
        <v>245</v>
      </c>
    </row>
    <row r="1927" spans="1:17" x14ac:dyDescent="0.25">
      <c r="A1927" t="s">
        <v>378</v>
      </c>
      <c r="B1927" t="s">
        <v>154</v>
      </c>
      <c r="C1927" s="4">
        <f t="shared" ref="C1927:M1927" si="1014">(0.832079466311379/(0.00247367761416449+0.832079466311379+0.0127000784696626)) * 0.0173133326823532%</f>
        <v>1.7003262115282948E-4</v>
      </c>
      <c r="D1927" s="4">
        <f t="shared" si="1014"/>
        <v>1.7003262115282948E-4</v>
      </c>
      <c r="E1927" s="4">
        <f t="shared" si="1014"/>
        <v>1.7003262115282948E-4</v>
      </c>
      <c r="F1927" s="4">
        <f t="shared" si="1014"/>
        <v>1.7003262115282948E-4</v>
      </c>
      <c r="G1927" s="4">
        <f t="shared" si="1014"/>
        <v>1.7003262115282948E-4</v>
      </c>
      <c r="H1927" s="4">
        <f t="shared" si="1014"/>
        <v>1.7003262115282948E-4</v>
      </c>
      <c r="I1927" s="4">
        <f t="shared" si="1014"/>
        <v>1.7003262115282948E-4</v>
      </c>
      <c r="J1927" s="4">
        <f t="shared" si="1014"/>
        <v>1.7003262115282948E-4</v>
      </c>
      <c r="K1927" s="4">
        <f t="shared" si="1014"/>
        <v>1.7003262115282948E-4</v>
      </c>
      <c r="L1927" s="4">
        <f t="shared" si="1014"/>
        <v>1.7003262115282948E-4</v>
      </c>
      <c r="M1927" s="4">
        <f t="shared" si="1014"/>
        <v>1.7003262115282948E-4</v>
      </c>
      <c r="N1927" t="s">
        <v>242</v>
      </c>
      <c r="O1927" t="s">
        <v>315</v>
      </c>
      <c r="P1927" t="s">
        <v>378</v>
      </c>
      <c r="Q1927" s="4" t="s">
        <v>245</v>
      </c>
    </row>
    <row r="1928" spans="1:17" x14ac:dyDescent="0.25">
      <c r="A1928" t="s">
        <v>378</v>
      </c>
      <c r="B1928" t="s">
        <v>154</v>
      </c>
      <c r="C1928" s="4">
        <f t="shared" ref="C1928:M1928" si="1015">(0.0127000784696626/(0.00247367761416449+0.832079466311379+0.0127000784696626)) * 0.0173133326823532%</f>
        <v>2.5952180272109379E-6</v>
      </c>
      <c r="D1928" s="4">
        <f t="shared" si="1015"/>
        <v>2.5952180272109379E-6</v>
      </c>
      <c r="E1928" s="4">
        <f t="shared" si="1015"/>
        <v>2.5952180272109379E-6</v>
      </c>
      <c r="F1928" s="4">
        <f t="shared" si="1015"/>
        <v>2.5952180272109379E-6</v>
      </c>
      <c r="G1928" s="4">
        <f t="shared" si="1015"/>
        <v>2.5952180272109379E-6</v>
      </c>
      <c r="H1928" s="4">
        <f t="shared" si="1015"/>
        <v>2.5952180272109379E-6</v>
      </c>
      <c r="I1928" s="4">
        <f t="shared" si="1015"/>
        <v>2.5952180272109379E-6</v>
      </c>
      <c r="J1928" s="4">
        <f t="shared" si="1015"/>
        <v>2.5952180272109379E-6</v>
      </c>
      <c r="K1928" s="4">
        <f t="shared" si="1015"/>
        <v>2.5952180272109379E-6</v>
      </c>
      <c r="L1928" s="4">
        <f t="shared" si="1015"/>
        <v>2.5952180272109379E-6</v>
      </c>
      <c r="M1928" s="4">
        <f t="shared" si="1015"/>
        <v>2.5952180272109379E-6</v>
      </c>
      <c r="N1928" t="s">
        <v>256</v>
      </c>
      <c r="O1928" t="s">
        <v>280</v>
      </c>
      <c r="P1928" t="s">
        <v>378</v>
      </c>
      <c r="Q1928" s="4" t="s">
        <v>245</v>
      </c>
    </row>
    <row r="1929" spans="1:17" x14ac:dyDescent="0.25">
      <c r="A1929" t="s">
        <v>378</v>
      </c>
      <c r="B1929" t="s">
        <v>169</v>
      </c>
      <c r="C1929" s="4">
        <f t="shared" ref="C1929:M1929" si="1016">(0.00247367761416449/(0.00247367761416449+0.832079466311379+0.0127000784696626))*0.0101143781436418%</f>
        <v>2.9530381394584682E-7</v>
      </c>
      <c r="D1929" s="4">
        <f t="shared" si="1016"/>
        <v>2.9530381394584682E-7</v>
      </c>
      <c r="E1929" s="4">
        <f t="shared" si="1016"/>
        <v>2.9530381394584682E-7</v>
      </c>
      <c r="F1929" s="4">
        <f t="shared" si="1016"/>
        <v>2.9530381394584682E-7</v>
      </c>
      <c r="G1929" s="4">
        <f t="shared" si="1016"/>
        <v>2.9530381394584682E-7</v>
      </c>
      <c r="H1929" s="4">
        <f t="shared" si="1016"/>
        <v>2.9530381394584682E-7</v>
      </c>
      <c r="I1929" s="4">
        <f t="shared" si="1016"/>
        <v>2.9530381394584682E-7</v>
      </c>
      <c r="J1929" s="4">
        <f t="shared" si="1016"/>
        <v>2.9530381394584682E-7</v>
      </c>
      <c r="K1929" s="4">
        <f t="shared" si="1016"/>
        <v>2.9530381394584682E-7</v>
      </c>
      <c r="L1929" s="4">
        <f t="shared" si="1016"/>
        <v>2.9530381394584682E-7</v>
      </c>
      <c r="M1929" s="4">
        <f t="shared" si="1016"/>
        <v>2.9530381394584682E-7</v>
      </c>
      <c r="N1929" t="s">
        <v>242</v>
      </c>
      <c r="O1929" t="s">
        <v>380</v>
      </c>
      <c r="P1929" t="s">
        <v>378</v>
      </c>
      <c r="Q1929" s="4" t="s">
        <v>245</v>
      </c>
    </row>
    <row r="1930" spans="1:17" x14ac:dyDescent="0.25">
      <c r="A1930" t="s">
        <v>378</v>
      </c>
      <c r="B1930" t="s">
        <v>169</v>
      </c>
      <c r="C1930" s="4">
        <f t="shared" ref="C1930:M1930" si="1017">(0.832079466311379/(0.00247367761416449+0.832079466311379+0.0127000784696626)) * 0.0101143781436418%</f>
        <v>9.9332361865096214E-5</v>
      </c>
      <c r="D1930" s="4">
        <f t="shared" si="1017"/>
        <v>9.9332361865096214E-5</v>
      </c>
      <c r="E1930" s="4">
        <f t="shared" si="1017"/>
        <v>9.9332361865096214E-5</v>
      </c>
      <c r="F1930" s="4">
        <f t="shared" si="1017"/>
        <v>9.9332361865096214E-5</v>
      </c>
      <c r="G1930" s="4">
        <f t="shared" si="1017"/>
        <v>9.9332361865096214E-5</v>
      </c>
      <c r="H1930" s="4">
        <f t="shared" si="1017"/>
        <v>9.9332361865096214E-5</v>
      </c>
      <c r="I1930" s="4">
        <f t="shared" si="1017"/>
        <v>9.9332361865096214E-5</v>
      </c>
      <c r="J1930" s="4">
        <f t="shared" si="1017"/>
        <v>9.9332361865096214E-5</v>
      </c>
      <c r="K1930" s="4">
        <f t="shared" si="1017"/>
        <v>9.9332361865096214E-5</v>
      </c>
      <c r="L1930" s="4">
        <f t="shared" si="1017"/>
        <v>9.9332361865096214E-5</v>
      </c>
      <c r="M1930" s="4">
        <f t="shared" si="1017"/>
        <v>9.9332361865096214E-5</v>
      </c>
      <c r="N1930" t="s">
        <v>242</v>
      </c>
      <c r="O1930" t="s">
        <v>315</v>
      </c>
      <c r="P1930" t="s">
        <v>378</v>
      </c>
      <c r="Q1930" s="4" t="s">
        <v>245</v>
      </c>
    </row>
    <row r="1931" spans="1:17" x14ac:dyDescent="0.25">
      <c r="A1931" t="s">
        <v>378</v>
      </c>
      <c r="B1931" t="s">
        <v>169</v>
      </c>
      <c r="C1931" s="4">
        <f t="shared" ref="C1931:M1931" si="1018">(0.0127000784696626/(0.00247367761416449+0.832079466311379+0.0127000784696626)) * 0.0101143781436418%</f>
        <v>1.5161157573759383E-6</v>
      </c>
      <c r="D1931" s="4">
        <f t="shared" si="1018"/>
        <v>1.5161157573759383E-6</v>
      </c>
      <c r="E1931" s="4">
        <f t="shared" si="1018"/>
        <v>1.5161157573759383E-6</v>
      </c>
      <c r="F1931" s="4">
        <f t="shared" si="1018"/>
        <v>1.5161157573759383E-6</v>
      </c>
      <c r="G1931" s="4">
        <f t="shared" si="1018"/>
        <v>1.5161157573759383E-6</v>
      </c>
      <c r="H1931" s="4">
        <f t="shared" si="1018"/>
        <v>1.5161157573759383E-6</v>
      </c>
      <c r="I1931" s="4">
        <f t="shared" si="1018"/>
        <v>1.5161157573759383E-6</v>
      </c>
      <c r="J1931" s="4">
        <f t="shared" si="1018"/>
        <v>1.5161157573759383E-6</v>
      </c>
      <c r="K1931" s="4">
        <f t="shared" si="1018"/>
        <v>1.5161157573759383E-6</v>
      </c>
      <c r="L1931" s="4">
        <f t="shared" si="1018"/>
        <v>1.5161157573759383E-6</v>
      </c>
      <c r="M1931" s="4">
        <f t="shared" si="1018"/>
        <v>1.5161157573759383E-6</v>
      </c>
      <c r="N1931" t="s">
        <v>256</v>
      </c>
      <c r="O1931" t="s">
        <v>280</v>
      </c>
      <c r="P1931" t="s">
        <v>378</v>
      </c>
      <c r="Q1931" s="4" t="s">
        <v>245</v>
      </c>
    </row>
    <row r="1932" spans="1:17" x14ac:dyDescent="0.25">
      <c r="A1932" t="s">
        <v>378</v>
      </c>
      <c r="B1932" t="s">
        <v>93</v>
      </c>
      <c r="C1932" s="4">
        <f t="shared" ref="C1932:M1932" si="1019">(0.00247367761416449/(0.00247367761416449+0.832079466311379+0.0127000784696626))*0.346253540797267%</f>
        <v>1.010937002132595E-5</v>
      </c>
      <c r="D1932" s="4">
        <f t="shared" si="1019"/>
        <v>1.010937002132595E-5</v>
      </c>
      <c r="E1932" s="4">
        <f t="shared" si="1019"/>
        <v>1.010937002132595E-5</v>
      </c>
      <c r="F1932" s="4">
        <f t="shared" si="1019"/>
        <v>1.010937002132595E-5</v>
      </c>
      <c r="G1932" s="4">
        <f t="shared" si="1019"/>
        <v>1.010937002132595E-5</v>
      </c>
      <c r="H1932" s="4">
        <f t="shared" si="1019"/>
        <v>1.010937002132595E-5</v>
      </c>
      <c r="I1932" s="4">
        <f t="shared" si="1019"/>
        <v>1.010937002132595E-5</v>
      </c>
      <c r="J1932" s="4">
        <f t="shared" si="1019"/>
        <v>1.010937002132595E-5</v>
      </c>
      <c r="K1932" s="4">
        <f t="shared" si="1019"/>
        <v>1.010937002132595E-5</v>
      </c>
      <c r="L1932" s="4">
        <f t="shared" si="1019"/>
        <v>1.010937002132595E-5</v>
      </c>
      <c r="M1932" s="4">
        <f t="shared" si="1019"/>
        <v>1.010937002132595E-5</v>
      </c>
      <c r="N1932" t="s">
        <v>242</v>
      </c>
      <c r="O1932" t="s">
        <v>380</v>
      </c>
      <c r="P1932" t="s">
        <v>378</v>
      </c>
      <c r="Q1932" s="4" t="s">
        <v>245</v>
      </c>
    </row>
    <row r="1933" spans="1:17" x14ac:dyDescent="0.25">
      <c r="A1933" t="s">
        <v>378</v>
      </c>
      <c r="B1933" t="s">
        <v>93</v>
      </c>
      <c r="C1933" s="4">
        <f t="shared" ref="C1933:M1933" si="1020">(0.832079466311379/(0.00247367761416449+0.832079466311379+0.0127000784696626)) * 0.346253540797267%</f>
        <v>3.4005236429850302E-3</v>
      </c>
      <c r="D1933" s="4">
        <f t="shared" si="1020"/>
        <v>3.4005236429850302E-3</v>
      </c>
      <c r="E1933" s="4">
        <f t="shared" si="1020"/>
        <v>3.4005236429850302E-3</v>
      </c>
      <c r="F1933" s="4">
        <f t="shared" si="1020"/>
        <v>3.4005236429850302E-3</v>
      </c>
      <c r="G1933" s="4">
        <f t="shared" si="1020"/>
        <v>3.4005236429850302E-3</v>
      </c>
      <c r="H1933" s="4">
        <f t="shared" si="1020"/>
        <v>3.4005236429850302E-3</v>
      </c>
      <c r="I1933" s="4">
        <f t="shared" si="1020"/>
        <v>3.4005236429850302E-3</v>
      </c>
      <c r="J1933" s="4">
        <f t="shared" si="1020"/>
        <v>3.4005236429850302E-3</v>
      </c>
      <c r="K1933" s="4">
        <f t="shared" si="1020"/>
        <v>3.4005236429850302E-3</v>
      </c>
      <c r="L1933" s="4">
        <f t="shared" si="1020"/>
        <v>3.4005236429850302E-3</v>
      </c>
      <c r="M1933" s="4">
        <f t="shared" si="1020"/>
        <v>3.4005236429850302E-3</v>
      </c>
      <c r="N1933" t="s">
        <v>242</v>
      </c>
      <c r="O1933" t="s">
        <v>315</v>
      </c>
      <c r="P1933" t="s">
        <v>378</v>
      </c>
      <c r="Q1933" s="4" t="s">
        <v>245</v>
      </c>
    </row>
    <row r="1934" spans="1:17" x14ac:dyDescent="0.25">
      <c r="A1934" t="s">
        <v>378</v>
      </c>
      <c r="B1934" t="s">
        <v>93</v>
      </c>
      <c r="C1934" s="4">
        <f t="shared" ref="C1934:M1934" si="1021">(0.0127000784696626/(0.00247367761416449+0.832079466311379+0.0127000784696626)) * 0.346253540797267%</f>
        <v>5.1902394966313831E-5</v>
      </c>
      <c r="D1934" s="4">
        <f t="shared" si="1021"/>
        <v>5.1902394966313831E-5</v>
      </c>
      <c r="E1934" s="4">
        <f t="shared" si="1021"/>
        <v>5.1902394966313831E-5</v>
      </c>
      <c r="F1934" s="4">
        <f t="shared" si="1021"/>
        <v>5.1902394966313831E-5</v>
      </c>
      <c r="G1934" s="4">
        <f t="shared" si="1021"/>
        <v>5.1902394966313831E-5</v>
      </c>
      <c r="H1934" s="4">
        <f t="shared" si="1021"/>
        <v>5.1902394966313831E-5</v>
      </c>
      <c r="I1934" s="4">
        <f t="shared" si="1021"/>
        <v>5.1902394966313831E-5</v>
      </c>
      <c r="J1934" s="4">
        <f t="shared" si="1021"/>
        <v>5.1902394966313831E-5</v>
      </c>
      <c r="K1934" s="4">
        <f t="shared" si="1021"/>
        <v>5.1902394966313831E-5</v>
      </c>
      <c r="L1934" s="4">
        <f t="shared" si="1021"/>
        <v>5.1902394966313831E-5</v>
      </c>
      <c r="M1934" s="4">
        <f t="shared" si="1021"/>
        <v>5.1902394966313831E-5</v>
      </c>
      <c r="N1934" t="s">
        <v>256</v>
      </c>
      <c r="O1934" t="s">
        <v>280</v>
      </c>
      <c r="P1934" t="s">
        <v>378</v>
      </c>
      <c r="Q1934" s="4" t="s">
        <v>245</v>
      </c>
    </row>
    <row r="1935" spans="1:17" x14ac:dyDescent="0.25">
      <c r="A1935" t="s">
        <v>378</v>
      </c>
      <c r="B1935" t="s">
        <v>196</v>
      </c>
      <c r="C1935" s="4">
        <f t="shared" ref="C1935:M1935" si="1022">(0.00247367761416449/(0.00247367761416449+0.832079466311379+0.0127000784696626))*0.021850378712215%</f>
        <v>6.3795322641110312E-7</v>
      </c>
      <c r="D1935" s="4">
        <f t="shared" si="1022"/>
        <v>6.3795322641110312E-7</v>
      </c>
      <c r="E1935" s="4">
        <f t="shared" si="1022"/>
        <v>6.3795322641110312E-7</v>
      </c>
      <c r="F1935" s="4">
        <f t="shared" si="1022"/>
        <v>6.3795322641110312E-7</v>
      </c>
      <c r="G1935" s="4">
        <f t="shared" si="1022"/>
        <v>6.3795322641110312E-7</v>
      </c>
      <c r="H1935" s="4">
        <f t="shared" si="1022"/>
        <v>6.3795322641110312E-7</v>
      </c>
      <c r="I1935" s="4">
        <f t="shared" si="1022"/>
        <v>6.3795322641110312E-7</v>
      </c>
      <c r="J1935" s="4">
        <f t="shared" si="1022"/>
        <v>6.3795322641110312E-7</v>
      </c>
      <c r="K1935" s="4">
        <f t="shared" si="1022"/>
        <v>6.3795322641110312E-7</v>
      </c>
      <c r="L1935" s="4">
        <f t="shared" si="1022"/>
        <v>6.3795322641110312E-7</v>
      </c>
      <c r="M1935" s="4">
        <f t="shared" si="1022"/>
        <v>6.3795322641110312E-7</v>
      </c>
      <c r="N1935" t="s">
        <v>242</v>
      </c>
      <c r="O1935" t="s">
        <v>380</v>
      </c>
      <c r="P1935" t="s">
        <v>378</v>
      </c>
      <c r="Q1935" s="4" t="s">
        <v>245</v>
      </c>
    </row>
    <row r="1936" spans="1:17" x14ac:dyDescent="0.25">
      <c r="A1936" t="s">
        <v>378</v>
      </c>
      <c r="B1936" t="s">
        <v>196</v>
      </c>
      <c r="C1936" s="4">
        <f t="shared" ref="C1936:M1936" si="1023">(0.832079466311379/(0.00247367761416449+0.832079466311379+0.0127000784696626)) * 0.021850378712215%</f>
        <v>2.1459052591340426E-4</v>
      </c>
      <c r="D1936" s="4">
        <f t="shared" si="1023"/>
        <v>2.1459052591340426E-4</v>
      </c>
      <c r="E1936" s="4">
        <f t="shared" si="1023"/>
        <v>2.1459052591340426E-4</v>
      </c>
      <c r="F1936" s="4">
        <f t="shared" si="1023"/>
        <v>2.1459052591340426E-4</v>
      </c>
      <c r="G1936" s="4">
        <f t="shared" si="1023"/>
        <v>2.1459052591340426E-4</v>
      </c>
      <c r="H1936" s="4">
        <f t="shared" si="1023"/>
        <v>2.1459052591340426E-4</v>
      </c>
      <c r="I1936" s="4">
        <f t="shared" si="1023"/>
        <v>2.1459052591340426E-4</v>
      </c>
      <c r="J1936" s="4">
        <f t="shared" si="1023"/>
        <v>2.1459052591340426E-4</v>
      </c>
      <c r="K1936" s="4">
        <f t="shared" si="1023"/>
        <v>2.1459052591340426E-4</v>
      </c>
      <c r="L1936" s="4">
        <f t="shared" si="1023"/>
        <v>2.1459052591340426E-4</v>
      </c>
      <c r="M1936" s="4">
        <f t="shared" si="1023"/>
        <v>2.1459052591340426E-4</v>
      </c>
      <c r="N1936" t="s">
        <v>242</v>
      </c>
      <c r="O1936" t="s">
        <v>315</v>
      </c>
      <c r="P1936" t="s">
        <v>378</v>
      </c>
      <c r="Q1936" s="4" t="s">
        <v>245</v>
      </c>
    </row>
    <row r="1937" spans="1:17" x14ac:dyDescent="0.25">
      <c r="A1937" t="s">
        <v>378</v>
      </c>
      <c r="B1937" t="s">
        <v>196</v>
      </c>
      <c r="C1937" s="4">
        <f t="shared" ref="C1937:M1937" si="1024">(0.0127000784696626/(0.00247367761416449+0.832079466311379+0.0127000784696626)) * 0.021850378712215%</f>
        <v>3.275307982334632E-6</v>
      </c>
      <c r="D1937" s="4">
        <f t="shared" si="1024"/>
        <v>3.275307982334632E-6</v>
      </c>
      <c r="E1937" s="4">
        <f t="shared" si="1024"/>
        <v>3.275307982334632E-6</v>
      </c>
      <c r="F1937" s="4">
        <f t="shared" si="1024"/>
        <v>3.275307982334632E-6</v>
      </c>
      <c r="G1937" s="4">
        <f t="shared" si="1024"/>
        <v>3.275307982334632E-6</v>
      </c>
      <c r="H1937" s="4">
        <f t="shared" si="1024"/>
        <v>3.275307982334632E-6</v>
      </c>
      <c r="I1937" s="4">
        <f t="shared" si="1024"/>
        <v>3.275307982334632E-6</v>
      </c>
      <c r="J1937" s="4">
        <f t="shared" si="1024"/>
        <v>3.275307982334632E-6</v>
      </c>
      <c r="K1937" s="4">
        <f t="shared" si="1024"/>
        <v>3.275307982334632E-6</v>
      </c>
      <c r="L1937" s="4">
        <f t="shared" si="1024"/>
        <v>3.275307982334632E-6</v>
      </c>
      <c r="M1937" s="4">
        <f t="shared" si="1024"/>
        <v>3.275307982334632E-6</v>
      </c>
      <c r="N1937" t="s">
        <v>256</v>
      </c>
      <c r="O1937" t="s">
        <v>280</v>
      </c>
      <c r="P1937" t="s">
        <v>378</v>
      </c>
      <c r="Q1937" s="4" t="s">
        <v>245</v>
      </c>
    </row>
    <row r="1938" spans="1:17" x14ac:dyDescent="0.25">
      <c r="A1938" t="s">
        <v>378</v>
      </c>
      <c r="B1938" t="s">
        <v>197</v>
      </c>
      <c r="C1938" s="4">
        <f t="shared" ref="C1938:M1938" si="1025">(0.00247367761416449/(0.00247367761416449+0.832079466311379+0.0127000784696626))*0.206579835706482%</f>
        <v>6.0313953563995811E-6</v>
      </c>
      <c r="D1938" s="4">
        <f t="shared" si="1025"/>
        <v>6.0313953563995811E-6</v>
      </c>
      <c r="E1938" s="4">
        <f t="shared" si="1025"/>
        <v>6.0313953563995811E-6</v>
      </c>
      <c r="F1938" s="4">
        <f t="shared" si="1025"/>
        <v>6.0313953563995811E-6</v>
      </c>
      <c r="G1938" s="4">
        <f t="shared" si="1025"/>
        <v>6.0313953563995811E-6</v>
      </c>
      <c r="H1938" s="4">
        <f t="shared" si="1025"/>
        <v>6.0313953563995811E-6</v>
      </c>
      <c r="I1938" s="4">
        <f t="shared" si="1025"/>
        <v>6.0313953563995811E-6</v>
      </c>
      <c r="J1938" s="4">
        <f t="shared" si="1025"/>
        <v>6.0313953563995811E-6</v>
      </c>
      <c r="K1938" s="4">
        <f t="shared" si="1025"/>
        <v>6.0313953563995811E-6</v>
      </c>
      <c r="L1938" s="4">
        <f t="shared" si="1025"/>
        <v>6.0313953563995811E-6</v>
      </c>
      <c r="M1938" s="4">
        <f t="shared" si="1025"/>
        <v>6.0313953563995811E-6</v>
      </c>
      <c r="N1938" t="s">
        <v>242</v>
      </c>
      <c r="O1938" t="s">
        <v>380</v>
      </c>
      <c r="P1938" t="s">
        <v>378</v>
      </c>
      <c r="Q1938" s="4" t="s">
        <v>245</v>
      </c>
    </row>
    <row r="1939" spans="1:17" x14ac:dyDescent="0.25">
      <c r="A1939" t="s">
        <v>378</v>
      </c>
      <c r="B1939" t="s">
        <v>197</v>
      </c>
      <c r="C1939" s="4">
        <f t="shared" ref="C1939:M1939" si="1026">(0.832079466311379/(0.00247367761416449+0.832079466311379+0.0127000784696626)) * 0.206579835706482%</f>
        <v>2.0288012473933378E-3</v>
      </c>
      <c r="D1939" s="4">
        <f t="shared" si="1026"/>
        <v>2.0288012473933378E-3</v>
      </c>
      <c r="E1939" s="4">
        <f t="shared" si="1026"/>
        <v>2.0288012473933378E-3</v>
      </c>
      <c r="F1939" s="4">
        <f t="shared" si="1026"/>
        <v>2.0288012473933378E-3</v>
      </c>
      <c r="G1939" s="4">
        <f t="shared" si="1026"/>
        <v>2.0288012473933378E-3</v>
      </c>
      <c r="H1939" s="4">
        <f t="shared" si="1026"/>
        <v>2.0288012473933378E-3</v>
      </c>
      <c r="I1939" s="4">
        <f t="shared" si="1026"/>
        <v>2.0288012473933378E-3</v>
      </c>
      <c r="J1939" s="4">
        <f t="shared" si="1026"/>
        <v>2.0288012473933378E-3</v>
      </c>
      <c r="K1939" s="4">
        <f t="shared" si="1026"/>
        <v>2.0288012473933378E-3</v>
      </c>
      <c r="L1939" s="4">
        <f t="shared" si="1026"/>
        <v>2.0288012473933378E-3</v>
      </c>
      <c r="M1939" s="4">
        <f t="shared" si="1026"/>
        <v>2.0288012473933378E-3</v>
      </c>
      <c r="N1939" t="s">
        <v>242</v>
      </c>
      <c r="O1939" t="s">
        <v>315</v>
      </c>
      <c r="P1939" t="s">
        <v>378</v>
      </c>
      <c r="Q1939" s="4" t="s">
        <v>245</v>
      </c>
    </row>
    <row r="1940" spans="1:17" x14ac:dyDescent="0.25">
      <c r="A1940" t="s">
        <v>378</v>
      </c>
      <c r="B1940" t="s">
        <v>197</v>
      </c>
      <c r="C1940" s="4">
        <f t="shared" ref="C1940:M1940" si="1027">(0.0127000784696626/(0.00247367761416449+0.832079466311379+0.0127000784696626)) * 0.206579835706482%</f>
        <v>3.0965714315082838E-5</v>
      </c>
      <c r="D1940" s="4">
        <f t="shared" si="1027"/>
        <v>3.0965714315082838E-5</v>
      </c>
      <c r="E1940" s="4">
        <f t="shared" si="1027"/>
        <v>3.0965714315082838E-5</v>
      </c>
      <c r="F1940" s="4">
        <f t="shared" si="1027"/>
        <v>3.0965714315082838E-5</v>
      </c>
      <c r="G1940" s="4">
        <f t="shared" si="1027"/>
        <v>3.0965714315082838E-5</v>
      </c>
      <c r="H1940" s="4">
        <f t="shared" si="1027"/>
        <v>3.0965714315082838E-5</v>
      </c>
      <c r="I1940" s="4">
        <f t="shared" si="1027"/>
        <v>3.0965714315082838E-5</v>
      </c>
      <c r="J1940" s="4">
        <f t="shared" si="1027"/>
        <v>3.0965714315082838E-5</v>
      </c>
      <c r="K1940" s="4">
        <f t="shared" si="1027"/>
        <v>3.0965714315082838E-5</v>
      </c>
      <c r="L1940" s="4">
        <f t="shared" si="1027"/>
        <v>3.0965714315082838E-5</v>
      </c>
      <c r="M1940" s="4">
        <f t="shared" si="1027"/>
        <v>3.0965714315082838E-5</v>
      </c>
      <c r="N1940" t="s">
        <v>256</v>
      </c>
      <c r="O1940" t="s">
        <v>280</v>
      </c>
      <c r="P1940" t="s">
        <v>378</v>
      </c>
      <c r="Q1940" s="4" t="s">
        <v>245</v>
      </c>
    </row>
    <row r="1941" spans="1:17" x14ac:dyDescent="0.25">
      <c r="A1941" t="s">
        <v>378</v>
      </c>
      <c r="B1941" t="s">
        <v>97</v>
      </c>
      <c r="C1941" s="4">
        <f t="shared" ref="C1941:M1941" si="1028">(0.00247367761416449/(0.00247367761416449+0.832079466311379+0.0127000784696626))*4.30148242515338%</f>
        <v>1.2558796474970013E-4</v>
      </c>
      <c r="D1941" s="4">
        <f t="shared" si="1028"/>
        <v>1.2558796474970013E-4</v>
      </c>
      <c r="E1941" s="4">
        <f t="shared" si="1028"/>
        <v>1.2558796474970013E-4</v>
      </c>
      <c r="F1941" s="4">
        <f t="shared" si="1028"/>
        <v>1.2558796474970013E-4</v>
      </c>
      <c r="G1941" s="4">
        <f t="shared" si="1028"/>
        <v>1.2558796474970013E-4</v>
      </c>
      <c r="H1941" s="4">
        <f t="shared" si="1028"/>
        <v>1.2558796474970013E-4</v>
      </c>
      <c r="I1941" s="4">
        <f t="shared" si="1028"/>
        <v>1.2558796474970013E-4</v>
      </c>
      <c r="J1941" s="4">
        <f t="shared" si="1028"/>
        <v>1.2558796474970013E-4</v>
      </c>
      <c r="K1941" s="4">
        <f t="shared" si="1028"/>
        <v>1.2558796474970013E-4</v>
      </c>
      <c r="L1941" s="4">
        <f t="shared" si="1028"/>
        <v>1.2558796474970013E-4</v>
      </c>
      <c r="M1941" s="4">
        <f t="shared" si="1028"/>
        <v>1.2558796474970013E-4</v>
      </c>
      <c r="N1941" t="s">
        <v>242</v>
      </c>
      <c r="O1941" t="s">
        <v>380</v>
      </c>
      <c r="P1941" t="s">
        <v>378</v>
      </c>
      <c r="Q1941" s="4" t="s">
        <v>245</v>
      </c>
    </row>
    <row r="1942" spans="1:17" x14ac:dyDescent="0.25">
      <c r="A1942" t="s">
        <v>378</v>
      </c>
      <c r="B1942" t="s">
        <v>97</v>
      </c>
      <c r="C1942" s="4">
        <f t="shared" ref="C1942:M1942" si="1029">(0.832079466311379/(0.00247367761416449+0.832079466311379+0.0127000784696626)) * 4.30148242515338%</f>
        <v>4.2244456628338131E-2</v>
      </c>
      <c r="D1942" s="4">
        <f t="shared" si="1029"/>
        <v>4.2244456628338131E-2</v>
      </c>
      <c r="E1942" s="4">
        <f t="shared" si="1029"/>
        <v>4.2244456628338131E-2</v>
      </c>
      <c r="F1942" s="4">
        <f t="shared" si="1029"/>
        <v>4.2244456628338131E-2</v>
      </c>
      <c r="G1942" s="4">
        <f t="shared" si="1029"/>
        <v>4.2244456628338131E-2</v>
      </c>
      <c r="H1942" s="4">
        <f t="shared" si="1029"/>
        <v>4.2244456628338131E-2</v>
      </c>
      <c r="I1942" s="4">
        <f t="shared" si="1029"/>
        <v>4.2244456628338131E-2</v>
      </c>
      <c r="J1942" s="4">
        <f t="shared" si="1029"/>
        <v>4.2244456628338131E-2</v>
      </c>
      <c r="K1942" s="4">
        <f t="shared" si="1029"/>
        <v>4.2244456628338131E-2</v>
      </c>
      <c r="L1942" s="4">
        <f t="shared" si="1029"/>
        <v>4.2244456628338131E-2</v>
      </c>
      <c r="M1942" s="4">
        <f t="shared" si="1029"/>
        <v>4.2244456628338131E-2</v>
      </c>
      <c r="N1942" t="s">
        <v>242</v>
      </c>
      <c r="O1942" t="s">
        <v>315</v>
      </c>
      <c r="P1942" t="s">
        <v>378</v>
      </c>
      <c r="Q1942" s="4" t="s">
        <v>245</v>
      </c>
    </row>
    <row r="1943" spans="1:17" x14ac:dyDescent="0.25">
      <c r="A1943" t="s">
        <v>378</v>
      </c>
      <c r="B1943" t="s">
        <v>97</v>
      </c>
      <c r="C1943" s="4">
        <f t="shared" ref="C1943:M1943" si="1030">(0.0127000784696626/(0.00247367761416449+0.832079466311379+0.0127000784696626)) * 4.30148242515338%</f>
        <v>6.447796584459661E-4</v>
      </c>
      <c r="D1943" s="4">
        <f t="shared" si="1030"/>
        <v>6.447796584459661E-4</v>
      </c>
      <c r="E1943" s="4">
        <f t="shared" si="1030"/>
        <v>6.447796584459661E-4</v>
      </c>
      <c r="F1943" s="4">
        <f t="shared" si="1030"/>
        <v>6.447796584459661E-4</v>
      </c>
      <c r="G1943" s="4">
        <f t="shared" si="1030"/>
        <v>6.447796584459661E-4</v>
      </c>
      <c r="H1943" s="4">
        <f t="shared" si="1030"/>
        <v>6.447796584459661E-4</v>
      </c>
      <c r="I1943" s="4">
        <f t="shared" si="1030"/>
        <v>6.447796584459661E-4</v>
      </c>
      <c r="J1943" s="4">
        <f t="shared" si="1030"/>
        <v>6.447796584459661E-4</v>
      </c>
      <c r="K1943" s="4">
        <f t="shared" si="1030"/>
        <v>6.447796584459661E-4</v>
      </c>
      <c r="L1943" s="4">
        <f t="shared" si="1030"/>
        <v>6.447796584459661E-4</v>
      </c>
      <c r="M1943" s="4">
        <f t="shared" si="1030"/>
        <v>6.447796584459661E-4</v>
      </c>
      <c r="N1943" t="s">
        <v>256</v>
      </c>
      <c r="O1943" t="s">
        <v>280</v>
      </c>
      <c r="P1943" t="s">
        <v>378</v>
      </c>
      <c r="Q1943" s="4" t="s">
        <v>245</v>
      </c>
    </row>
    <row r="1944" spans="1:17" x14ac:dyDescent="0.25">
      <c r="A1944" t="s">
        <v>378</v>
      </c>
      <c r="B1944" t="s">
        <v>98</v>
      </c>
      <c r="C1944" s="4">
        <f t="shared" ref="C1944:M1944" si="1031">(0.00247367761416449/(0.00247367761416449+0.832079466311379+0.0127000784696626))*0.193458244009329%</f>
        <v>5.6482916185147873E-6</v>
      </c>
      <c r="D1944" s="4">
        <f t="shared" si="1031"/>
        <v>5.6482916185147873E-6</v>
      </c>
      <c r="E1944" s="4">
        <f t="shared" si="1031"/>
        <v>5.6482916185147873E-6</v>
      </c>
      <c r="F1944" s="4">
        <f t="shared" si="1031"/>
        <v>5.6482916185147873E-6</v>
      </c>
      <c r="G1944" s="4">
        <f t="shared" si="1031"/>
        <v>5.6482916185147873E-6</v>
      </c>
      <c r="H1944" s="4">
        <f t="shared" si="1031"/>
        <v>5.6482916185147873E-6</v>
      </c>
      <c r="I1944" s="4">
        <f t="shared" si="1031"/>
        <v>5.6482916185147873E-6</v>
      </c>
      <c r="J1944" s="4">
        <f t="shared" si="1031"/>
        <v>5.6482916185147873E-6</v>
      </c>
      <c r="K1944" s="4">
        <f t="shared" si="1031"/>
        <v>5.6482916185147873E-6</v>
      </c>
      <c r="L1944" s="4">
        <f t="shared" si="1031"/>
        <v>5.6482916185147873E-6</v>
      </c>
      <c r="M1944" s="4">
        <f t="shared" si="1031"/>
        <v>5.6482916185147873E-6</v>
      </c>
      <c r="N1944" t="s">
        <v>242</v>
      </c>
      <c r="O1944" t="s">
        <v>380</v>
      </c>
      <c r="P1944" t="s">
        <v>378</v>
      </c>
      <c r="Q1944" s="4" t="s">
        <v>245</v>
      </c>
    </row>
    <row r="1945" spans="1:17" x14ac:dyDescent="0.25">
      <c r="A1945" t="s">
        <v>378</v>
      </c>
      <c r="B1945" t="s">
        <v>98</v>
      </c>
      <c r="C1945" s="4">
        <f t="shared" ref="C1945:M1945" si="1032">(0.832079466311379/(0.00247367761416449+0.832079466311379+0.0127000784696626)) * 0.193458244009329%</f>
        <v>1.8999353224499443E-3</v>
      </c>
      <c r="D1945" s="4">
        <f t="shared" si="1032"/>
        <v>1.8999353224499443E-3</v>
      </c>
      <c r="E1945" s="4">
        <f t="shared" si="1032"/>
        <v>1.8999353224499443E-3</v>
      </c>
      <c r="F1945" s="4">
        <f t="shared" si="1032"/>
        <v>1.8999353224499443E-3</v>
      </c>
      <c r="G1945" s="4">
        <f t="shared" si="1032"/>
        <v>1.8999353224499443E-3</v>
      </c>
      <c r="H1945" s="4">
        <f t="shared" si="1032"/>
        <v>1.8999353224499443E-3</v>
      </c>
      <c r="I1945" s="4">
        <f t="shared" si="1032"/>
        <v>1.8999353224499443E-3</v>
      </c>
      <c r="J1945" s="4">
        <f t="shared" si="1032"/>
        <v>1.8999353224499443E-3</v>
      </c>
      <c r="K1945" s="4">
        <f t="shared" si="1032"/>
        <v>1.8999353224499443E-3</v>
      </c>
      <c r="L1945" s="4">
        <f t="shared" si="1032"/>
        <v>1.8999353224499443E-3</v>
      </c>
      <c r="M1945" s="4">
        <f t="shared" si="1032"/>
        <v>1.8999353224499443E-3</v>
      </c>
      <c r="N1945" t="s">
        <v>242</v>
      </c>
      <c r="O1945" t="s">
        <v>315</v>
      </c>
      <c r="P1945" t="s">
        <v>378</v>
      </c>
      <c r="Q1945" s="4" t="s">
        <v>245</v>
      </c>
    </row>
    <row r="1946" spans="1:17" x14ac:dyDescent="0.25">
      <c r="A1946" t="s">
        <v>378</v>
      </c>
      <c r="B1946" t="s">
        <v>98</v>
      </c>
      <c r="C1946" s="4">
        <f t="shared" ref="C1946:M1946" si="1033">(0.0127000784696626/(0.00247367761416449+0.832079466311379+0.0127000784696626)) * 0.193458244009329%</f>
        <v>2.8998826024831122E-5</v>
      </c>
      <c r="D1946" s="4">
        <f t="shared" si="1033"/>
        <v>2.8998826024831122E-5</v>
      </c>
      <c r="E1946" s="4">
        <f t="shared" si="1033"/>
        <v>2.8998826024831122E-5</v>
      </c>
      <c r="F1946" s="4">
        <f t="shared" si="1033"/>
        <v>2.8998826024831122E-5</v>
      </c>
      <c r="G1946" s="4">
        <f t="shared" si="1033"/>
        <v>2.8998826024831122E-5</v>
      </c>
      <c r="H1946" s="4">
        <f t="shared" si="1033"/>
        <v>2.8998826024831122E-5</v>
      </c>
      <c r="I1946" s="4">
        <f t="shared" si="1033"/>
        <v>2.8998826024831122E-5</v>
      </c>
      <c r="J1946" s="4">
        <f t="shared" si="1033"/>
        <v>2.8998826024831122E-5</v>
      </c>
      <c r="K1946" s="4">
        <f t="shared" si="1033"/>
        <v>2.8998826024831122E-5</v>
      </c>
      <c r="L1946" s="4">
        <f t="shared" si="1033"/>
        <v>2.8998826024831122E-5</v>
      </c>
      <c r="M1946" s="4">
        <f t="shared" si="1033"/>
        <v>2.8998826024831122E-5</v>
      </c>
      <c r="N1946" t="s">
        <v>256</v>
      </c>
      <c r="O1946" t="s">
        <v>280</v>
      </c>
      <c r="P1946" t="s">
        <v>378</v>
      </c>
      <c r="Q1946" s="4" t="s">
        <v>245</v>
      </c>
    </row>
    <row r="1947" spans="1:17" x14ac:dyDescent="0.25">
      <c r="A1947" t="s">
        <v>378</v>
      </c>
      <c r="B1947" t="s">
        <v>99</v>
      </c>
      <c r="C1947" s="4">
        <f t="shared" ref="C1947:M1947" si="1034">(0.00247367761416449/(0.00247367761416449+0.832079466311379+0.0127000784696626))*1.35543157404638%</f>
        <v>3.957377385678787E-5</v>
      </c>
      <c r="D1947" s="4">
        <f t="shared" si="1034"/>
        <v>3.957377385678787E-5</v>
      </c>
      <c r="E1947" s="4">
        <f t="shared" si="1034"/>
        <v>3.957377385678787E-5</v>
      </c>
      <c r="F1947" s="4">
        <f t="shared" si="1034"/>
        <v>3.957377385678787E-5</v>
      </c>
      <c r="G1947" s="4">
        <f t="shared" si="1034"/>
        <v>3.957377385678787E-5</v>
      </c>
      <c r="H1947" s="4">
        <f t="shared" si="1034"/>
        <v>3.957377385678787E-5</v>
      </c>
      <c r="I1947" s="4">
        <f t="shared" si="1034"/>
        <v>3.957377385678787E-5</v>
      </c>
      <c r="J1947" s="4">
        <f t="shared" si="1034"/>
        <v>3.957377385678787E-5</v>
      </c>
      <c r="K1947" s="4">
        <f t="shared" si="1034"/>
        <v>3.957377385678787E-5</v>
      </c>
      <c r="L1947" s="4">
        <f t="shared" si="1034"/>
        <v>3.957377385678787E-5</v>
      </c>
      <c r="M1947" s="4">
        <f t="shared" si="1034"/>
        <v>3.957377385678787E-5</v>
      </c>
      <c r="N1947" t="s">
        <v>242</v>
      </c>
      <c r="O1947" t="s">
        <v>380</v>
      </c>
      <c r="P1947" t="s">
        <v>378</v>
      </c>
      <c r="Q1947" s="4" t="s">
        <v>245</v>
      </c>
    </row>
    <row r="1948" spans="1:17" x14ac:dyDescent="0.25">
      <c r="A1948" t="s">
        <v>378</v>
      </c>
      <c r="B1948" t="s">
        <v>99</v>
      </c>
      <c r="C1948" s="4">
        <f t="shared" ref="C1948:M1948" si="1035">(0.832079466311379/(0.00247367761416449+0.832079466311379+0.0127000784696626)) * 1.35543157404638%</f>
        <v>1.3311566730495397E-2</v>
      </c>
      <c r="D1948" s="4">
        <f t="shared" si="1035"/>
        <v>1.3311566730495397E-2</v>
      </c>
      <c r="E1948" s="4">
        <f t="shared" si="1035"/>
        <v>1.3311566730495397E-2</v>
      </c>
      <c r="F1948" s="4">
        <f t="shared" si="1035"/>
        <v>1.3311566730495397E-2</v>
      </c>
      <c r="G1948" s="4">
        <f t="shared" si="1035"/>
        <v>1.3311566730495397E-2</v>
      </c>
      <c r="H1948" s="4">
        <f t="shared" si="1035"/>
        <v>1.3311566730495397E-2</v>
      </c>
      <c r="I1948" s="4">
        <f t="shared" si="1035"/>
        <v>1.3311566730495397E-2</v>
      </c>
      <c r="J1948" s="4">
        <f t="shared" si="1035"/>
        <v>1.3311566730495397E-2</v>
      </c>
      <c r="K1948" s="4">
        <f t="shared" si="1035"/>
        <v>1.3311566730495397E-2</v>
      </c>
      <c r="L1948" s="4">
        <f t="shared" si="1035"/>
        <v>1.3311566730495397E-2</v>
      </c>
      <c r="M1948" s="4">
        <f t="shared" si="1035"/>
        <v>1.3311566730495397E-2</v>
      </c>
      <c r="N1948" t="s">
        <v>242</v>
      </c>
      <c r="O1948" t="s">
        <v>315</v>
      </c>
      <c r="P1948" t="s">
        <v>378</v>
      </c>
      <c r="Q1948" s="4" t="s">
        <v>245</v>
      </c>
    </row>
    <row r="1949" spans="1:17" x14ac:dyDescent="0.25">
      <c r="A1949" t="s">
        <v>378</v>
      </c>
      <c r="B1949" t="s">
        <v>99</v>
      </c>
      <c r="C1949" s="4">
        <f t="shared" ref="C1949:M1949" si="1036">(0.0127000784696626/(0.00247367761416449+0.832079466311379+0.0127000784696626)) * 1.35543157404638%</f>
        <v>2.0317523611161566E-4</v>
      </c>
      <c r="D1949" s="4">
        <f t="shared" si="1036"/>
        <v>2.0317523611161566E-4</v>
      </c>
      <c r="E1949" s="4">
        <f t="shared" si="1036"/>
        <v>2.0317523611161566E-4</v>
      </c>
      <c r="F1949" s="4">
        <f t="shared" si="1036"/>
        <v>2.0317523611161566E-4</v>
      </c>
      <c r="G1949" s="4">
        <f t="shared" si="1036"/>
        <v>2.0317523611161566E-4</v>
      </c>
      <c r="H1949" s="4">
        <f t="shared" si="1036"/>
        <v>2.0317523611161566E-4</v>
      </c>
      <c r="I1949" s="4">
        <f t="shared" si="1036"/>
        <v>2.0317523611161566E-4</v>
      </c>
      <c r="J1949" s="4">
        <f t="shared" si="1036"/>
        <v>2.0317523611161566E-4</v>
      </c>
      <c r="K1949" s="4">
        <f t="shared" si="1036"/>
        <v>2.0317523611161566E-4</v>
      </c>
      <c r="L1949" s="4">
        <f t="shared" si="1036"/>
        <v>2.0317523611161566E-4</v>
      </c>
      <c r="M1949" s="4">
        <f t="shared" si="1036"/>
        <v>2.0317523611161566E-4</v>
      </c>
      <c r="N1949" t="s">
        <v>256</v>
      </c>
      <c r="O1949" t="s">
        <v>280</v>
      </c>
      <c r="P1949" t="s">
        <v>378</v>
      </c>
      <c r="Q1949" s="4" t="s">
        <v>245</v>
      </c>
    </row>
    <row r="1950" spans="1:17" x14ac:dyDescent="0.25">
      <c r="A1950" t="s">
        <v>378</v>
      </c>
      <c r="B1950" t="s">
        <v>118</v>
      </c>
      <c r="C1950" s="4">
        <f t="shared" ref="C1950:M1950" si="1037">(0.00247367761416449/(0.00247367761416449+0.832079466311379+0.0127000784696626))*0.338696168364096%</f>
        <v>9.8887216659619042E-6</v>
      </c>
      <c r="D1950" s="4">
        <f t="shared" si="1037"/>
        <v>9.8887216659619042E-6</v>
      </c>
      <c r="E1950" s="4">
        <f t="shared" si="1037"/>
        <v>9.8887216659619042E-6</v>
      </c>
      <c r="F1950" s="4">
        <f t="shared" si="1037"/>
        <v>9.8887216659619042E-6</v>
      </c>
      <c r="G1950" s="4">
        <f t="shared" si="1037"/>
        <v>9.8887216659619042E-6</v>
      </c>
      <c r="H1950" s="4">
        <f t="shared" si="1037"/>
        <v>9.8887216659619042E-6</v>
      </c>
      <c r="I1950" s="4">
        <f t="shared" si="1037"/>
        <v>9.8887216659619042E-6</v>
      </c>
      <c r="J1950" s="4">
        <f t="shared" si="1037"/>
        <v>9.8887216659619042E-6</v>
      </c>
      <c r="K1950" s="4">
        <f t="shared" si="1037"/>
        <v>9.8887216659619042E-6</v>
      </c>
      <c r="L1950" s="4">
        <f t="shared" si="1037"/>
        <v>9.8887216659619042E-6</v>
      </c>
      <c r="M1950" s="4">
        <f t="shared" si="1037"/>
        <v>9.8887216659619042E-6</v>
      </c>
      <c r="N1950" t="s">
        <v>242</v>
      </c>
      <c r="O1950" t="s">
        <v>380</v>
      </c>
      <c r="P1950" t="s">
        <v>378</v>
      </c>
      <c r="Q1950" s="4" t="s">
        <v>245</v>
      </c>
    </row>
    <row r="1951" spans="1:17" x14ac:dyDescent="0.25">
      <c r="A1951" t="s">
        <v>378</v>
      </c>
      <c r="B1951" t="s">
        <v>118</v>
      </c>
      <c r="C1951" s="4">
        <f t="shared" ref="C1951:M1951" si="1038">(0.832079466311379/(0.00247367761416449+0.832079466311379+0.0127000784696626)) * 0.338696168364096%</f>
        <v>3.3263033950745886E-3</v>
      </c>
      <c r="D1951" s="4">
        <f t="shared" si="1038"/>
        <v>3.3263033950745886E-3</v>
      </c>
      <c r="E1951" s="4">
        <f t="shared" si="1038"/>
        <v>3.3263033950745886E-3</v>
      </c>
      <c r="F1951" s="4">
        <f t="shared" si="1038"/>
        <v>3.3263033950745886E-3</v>
      </c>
      <c r="G1951" s="4">
        <f t="shared" si="1038"/>
        <v>3.3263033950745886E-3</v>
      </c>
      <c r="H1951" s="4">
        <f t="shared" si="1038"/>
        <v>3.3263033950745886E-3</v>
      </c>
      <c r="I1951" s="4">
        <f t="shared" si="1038"/>
        <v>3.3263033950745886E-3</v>
      </c>
      <c r="J1951" s="4">
        <f t="shared" si="1038"/>
        <v>3.3263033950745886E-3</v>
      </c>
      <c r="K1951" s="4">
        <f t="shared" si="1038"/>
        <v>3.3263033950745886E-3</v>
      </c>
      <c r="L1951" s="4">
        <f t="shared" si="1038"/>
        <v>3.3263033950745886E-3</v>
      </c>
      <c r="M1951" s="4">
        <f t="shared" si="1038"/>
        <v>3.3263033950745886E-3</v>
      </c>
      <c r="N1951" t="s">
        <v>242</v>
      </c>
      <c r="O1951" t="s">
        <v>315</v>
      </c>
      <c r="P1951" t="s">
        <v>378</v>
      </c>
      <c r="Q1951" s="4" t="s">
        <v>245</v>
      </c>
    </row>
    <row r="1952" spans="1:17" x14ac:dyDescent="0.25">
      <c r="A1952" t="s">
        <v>378</v>
      </c>
      <c r="B1952" t="s">
        <v>118</v>
      </c>
      <c r="C1952" s="4">
        <f t="shared" ref="C1952:M1952" si="1039">(0.0127000784696626/(0.00247367761416449+0.832079466311379+0.0127000784696626)) * 0.338696168364096%</f>
        <v>5.0769566900409267E-5</v>
      </c>
      <c r="D1952" s="4">
        <f t="shared" si="1039"/>
        <v>5.0769566900409267E-5</v>
      </c>
      <c r="E1952" s="4">
        <f t="shared" si="1039"/>
        <v>5.0769566900409267E-5</v>
      </c>
      <c r="F1952" s="4">
        <f t="shared" si="1039"/>
        <v>5.0769566900409267E-5</v>
      </c>
      <c r="G1952" s="4">
        <f t="shared" si="1039"/>
        <v>5.0769566900409267E-5</v>
      </c>
      <c r="H1952" s="4">
        <f t="shared" si="1039"/>
        <v>5.0769566900409267E-5</v>
      </c>
      <c r="I1952" s="4">
        <f t="shared" si="1039"/>
        <v>5.0769566900409267E-5</v>
      </c>
      <c r="J1952" s="4">
        <f t="shared" si="1039"/>
        <v>5.0769566900409267E-5</v>
      </c>
      <c r="K1952" s="4">
        <f t="shared" si="1039"/>
        <v>5.0769566900409267E-5</v>
      </c>
      <c r="L1952" s="4">
        <f t="shared" si="1039"/>
        <v>5.0769566900409267E-5</v>
      </c>
      <c r="M1952" s="4">
        <f t="shared" si="1039"/>
        <v>5.0769566900409267E-5</v>
      </c>
      <c r="N1952" t="s">
        <v>256</v>
      </c>
      <c r="O1952" t="s">
        <v>280</v>
      </c>
      <c r="P1952" t="s">
        <v>378</v>
      </c>
      <c r="Q1952" s="4" t="s">
        <v>245</v>
      </c>
    </row>
    <row r="1953" spans="1:17" x14ac:dyDescent="0.25">
      <c r="A1953" t="s">
        <v>378</v>
      </c>
      <c r="B1953" t="s">
        <v>102</v>
      </c>
      <c r="C1953" s="4">
        <f t="shared" ref="C1953:M1953" si="1040">(0.00247367761416449/(0.00247367761416449+0.832079466311379+0.0127000784696626))*1.36723313886394%</f>
        <v>3.9918337511780879E-5</v>
      </c>
      <c r="D1953" s="4">
        <f t="shared" si="1040"/>
        <v>3.9918337511780879E-5</v>
      </c>
      <c r="E1953" s="4">
        <f t="shared" si="1040"/>
        <v>3.9918337511780879E-5</v>
      </c>
      <c r="F1953" s="4">
        <f t="shared" si="1040"/>
        <v>3.9918337511780879E-5</v>
      </c>
      <c r="G1953" s="4">
        <f t="shared" si="1040"/>
        <v>3.9918337511780879E-5</v>
      </c>
      <c r="H1953" s="4">
        <f t="shared" si="1040"/>
        <v>3.9918337511780879E-5</v>
      </c>
      <c r="I1953" s="4">
        <f t="shared" si="1040"/>
        <v>3.9918337511780879E-5</v>
      </c>
      <c r="J1953" s="4">
        <f t="shared" si="1040"/>
        <v>3.9918337511780879E-5</v>
      </c>
      <c r="K1953" s="4">
        <f t="shared" si="1040"/>
        <v>3.9918337511780879E-5</v>
      </c>
      <c r="L1953" s="4">
        <f t="shared" si="1040"/>
        <v>3.9918337511780879E-5</v>
      </c>
      <c r="M1953" s="4">
        <f t="shared" si="1040"/>
        <v>3.9918337511780879E-5</v>
      </c>
      <c r="N1953" t="s">
        <v>242</v>
      </c>
      <c r="O1953" t="s">
        <v>380</v>
      </c>
      <c r="P1953" t="s">
        <v>378</v>
      </c>
      <c r="Q1953" s="4" t="s">
        <v>245</v>
      </c>
    </row>
    <row r="1954" spans="1:17" x14ac:dyDescent="0.25">
      <c r="A1954" t="s">
        <v>378</v>
      </c>
      <c r="B1954" t="s">
        <v>102</v>
      </c>
      <c r="C1954" s="4">
        <f t="shared" ref="C1954:M1954" si="1041">(0.832079466311379/(0.00247367761416449+0.832079466311379+0.0127000784696626)) * 1.36723313886394%</f>
        <v>1.3427468794901521E-2</v>
      </c>
      <c r="D1954" s="4">
        <f t="shared" si="1041"/>
        <v>1.3427468794901521E-2</v>
      </c>
      <c r="E1954" s="4">
        <f t="shared" si="1041"/>
        <v>1.3427468794901521E-2</v>
      </c>
      <c r="F1954" s="4">
        <f t="shared" si="1041"/>
        <v>1.3427468794901521E-2</v>
      </c>
      <c r="G1954" s="4">
        <f t="shared" si="1041"/>
        <v>1.3427468794901521E-2</v>
      </c>
      <c r="H1954" s="4">
        <f t="shared" si="1041"/>
        <v>1.3427468794901521E-2</v>
      </c>
      <c r="I1954" s="4">
        <f t="shared" si="1041"/>
        <v>1.3427468794901521E-2</v>
      </c>
      <c r="J1954" s="4">
        <f t="shared" si="1041"/>
        <v>1.3427468794901521E-2</v>
      </c>
      <c r="K1954" s="4">
        <f t="shared" si="1041"/>
        <v>1.3427468794901521E-2</v>
      </c>
      <c r="L1954" s="4">
        <f t="shared" si="1041"/>
        <v>1.3427468794901521E-2</v>
      </c>
      <c r="M1954" s="4">
        <f t="shared" si="1041"/>
        <v>1.3427468794901521E-2</v>
      </c>
      <c r="N1954" t="s">
        <v>242</v>
      </c>
      <c r="O1954" t="s">
        <v>315</v>
      </c>
      <c r="P1954" t="s">
        <v>378</v>
      </c>
      <c r="Q1954" s="4" t="s">
        <v>245</v>
      </c>
    </row>
    <row r="1955" spans="1:17" x14ac:dyDescent="0.25">
      <c r="A1955" t="s">
        <v>378</v>
      </c>
      <c r="B1955" t="s">
        <v>102</v>
      </c>
      <c r="C1955" s="4">
        <f t="shared" ref="C1955:M1955" si="1042">(0.0127000784696626/(0.00247367761416449+0.832079466311379+0.0127000784696626)) * 1.36723313886394%</f>
        <v>2.0494425622609932E-4</v>
      </c>
      <c r="D1955" s="4">
        <f t="shared" si="1042"/>
        <v>2.0494425622609932E-4</v>
      </c>
      <c r="E1955" s="4">
        <f t="shared" si="1042"/>
        <v>2.0494425622609932E-4</v>
      </c>
      <c r="F1955" s="4">
        <f t="shared" si="1042"/>
        <v>2.0494425622609932E-4</v>
      </c>
      <c r="G1955" s="4">
        <f t="shared" si="1042"/>
        <v>2.0494425622609932E-4</v>
      </c>
      <c r="H1955" s="4">
        <f t="shared" si="1042"/>
        <v>2.0494425622609932E-4</v>
      </c>
      <c r="I1955" s="4">
        <f t="shared" si="1042"/>
        <v>2.0494425622609932E-4</v>
      </c>
      <c r="J1955" s="4">
        <f t="shared" si="1042"/>
        <v>2.0494425622609932E-4</v>
      </c>
      <c r="K1955" s="4">
        <f t="shared" si="1042"/>
        <v>2.0494425622609932E-4</v>
      </c>
      <c r="L1955" s="4">
        <f t="shared" si="1042"/>
        <v>2.0494425622609932E-4</v>
      </c>
      <c r="M1955" s="4">
        <f t="shared" si="1042"/>
        <v>2.0494425622609932E-4</v>
      </c>
      <c r="N1955" t="s">
        <v>256</v>
      </c>
      <c r="O1955" t="s">
        <v>280</v>
      </c>
      <c r="P1955" t="s">
        <v>378</v>
      </c>
      <c r="Q1955" s="4" t="s">
        <v>245</v>
      </c>
    </row>
    <row r="1956" spans="1:17" x14ac:dyDescent="0.25">
      <c r="A1956" t="s">
        <v>378</v>
      </c>
      <c r="B1956" t="s">
        <v>148</v>
      </c>
      <c r="C1956" s="4">
        <f t="shared" ref="C1956:M1956" si="1043">(0.00247367761416449/(0.00247367761416449+0.832079466311379+0.0127000784696626))*0.0494616694353721%</f>
        <v>1.4441045629261951E-6</v>
      </c>
      <c r="D1956" s="4">
        <f t="shared" si="1043"/>
        <v>1.4441045629261951E-6</v>
      </c>
      <c r="E1956" s="4">
        <f t="shared" si="1043"/>
        <v>1.4441045629261951E-6</v>
      </c>
      <c r="F1956" s="4">
        <f t="shared" si="1043"/>
        <v>1.4441045629261951E-6</v>
      </c>
      <c r="G1956" s="4">
        <f t="shared" si="1043"/>
        <v>1.4441045629261951E-6</v>
      </c>
      <c r="H1956" s="4">
        <f t="shared" si="1043"/>
        <v>1.4441045629261951E-6</v>
      </c>
      <c r="I1956" s="4">
        <f t="shared" si="1043"/>
        <v>1.4441045629261951E-6</v>
      </c>
      <c r="J1956" s="4">
        <f t="shared" si="1043"/>
        <v>1.4441045629261951E-6</v>
      </c>
      <c r="K1956" s="4">
        <f t="shared" si="1043"/>
        <v>1.4441045629261951E-6</v>
      </c>
      <c r="L1956" s="4">
        <f t="shared" si="1043"/>
        <v>1.4441045629261951E-6</v>
      </c>
      <c r="M1956" s="4">
        <f t="shared" si="1043"/>
        <v>1.4441045629261951E-6</v>
      </c>
      <c r="N1956" t="s">
        <v>242</v>
      </c>
      <c r="O1956" t="s">
        <v>380</v>
      </c>
      <c r="P1956" t="s">
        <v>378</v>
      </c>
      <c r="Q1956" s="4" t="s">
        <v>245</v>
      </c>
    </row>
    <row r="1957" spans="1:17" x14ac:dyDescent="0.25">
      <c r="A1957" t="s">
        <v>378</v>
      </c>
      <c r="B1957" t="s">
        <v>148</v>
      </c>
      <c r="C1957" s="4">
        <f t="shared" ref="C1957:M1957" si="1044">(0.832079466311379/(0.00247367761416449+0.832079466311379+0.0127000784696626)) * 0.0494616694353721%</f>
        <v>4.8575842993320355E-4</v>
      </c>
      <c r="D1957" s="4">
        <f t="shared" si="1044"/>
        <v>4.8575842993320355E-4</v>
      </c>
      <c r="E1957" s="4">
        <f t="shared" si="1044"/>
        <v>4.8575842993320355E-4</v>
      </c>
      <c r="F1957" s="4">
        <f t="shared" si="1044"/>
        <v>4.8575842993320355E-4</v>
      </c>
      <c r="G1957" s="4">
        <f t="shared" si="1044"/>
        <v>4.8575842993320355E-4</v>
      </c>
      <c r="H1957" s="4">
        <f t="shared" si="1044"/>
        <v>4.8575842993320355E-4</v>
      </c>
      <c r="I1957" s="4">
        <f t="shared" si="1044"/>
        <v>4.8575842993320355E-4</v>
      </c>
      <c r="J1957" s="4">
        <f t="shared" si="1044"/>
        <v>4.8575842993320355E-4</v>
      </c>
      <c r="K1957" s="4">
        <f t="shared" si="1044"/>
        <v>4.8575842993320355E-4</v>
      </c>
      <c r="L1957" s="4">
        <f t="shared" si="1044"/>
        <v>4.8575842993320355E-4</v>
      </c>
      <c r="M1957" s="4">
        <f t="shared" si="1044"/>
        <v>4.8575842993320355E-4</v>
      </c>
      <c r="N1957" t="s">
        <v>242</v>
      </c>
      <c r="O1957" t="s">
        <v>315</v>
      </c>
      <c r="P1957" t="s">
        <v>378</v>
      </c>
      <c r="Q1957" s="4" t="s">
        <v>245</v>
      </c>
    </row>
    <row r="1958" spans="1:17" x14ac:dyDescent="0.25">
      <c r="A1958" t="s">
        <v>378</v>
      </c>
      <c r="B1958" t="s">
        <v>148</v>
      </c>
      <c r="C1958" s="4">
        <f t="shared" ref="C1958:M1958" si="1045">(0.0127000784696626/(0.00247367761416449+0.832079466311379+0.0127000784696626)) * 0.0494616694353721%</f>
        <v>7.4141598575912625E-6</v>
      </c>
      <c r="D1958" s="4">
        <f t="shared" si="1045"/>
        <v>7.4141598575912625E-6</v>
      </c>
      <c r="E1958" s="4">
        <f t="shared" si="1045"/>
        <v>7.4141598575912625E-6</v>
      </c>
      <c r="F1958" s="4">
        <f t="shared" si="1045"/>
        <v>7.4141598575912625E-6</v>
      </c>
      <c r="G1958" s="4">
        <f t="shared" si="1045"/>
        <v>7.4141598575912625E-6</v>
      </c>
      <c r="H1958" s="4">
        <f t="shared" si="1045"/>
        <v>7.4141598575912625E-6</v>
      </c>
      <c r="I1958" s="4">
        <f t="shared" si="1045"/>
        <v>7.4141598575912625E-6</v>
      </c>
      <c r="J1958" s="4">
        <f t="shared" si="1045"/>
        <v>7.4141598575912625E-6</v>
      </c>
      <c r="K1958" s="4">
        <f t="shared" si="1045"/>
        <v>7.4141598575912625E-6</v>
      </c>
      <c r="L1958" s="4">
        <f t="shared" si="1045"/>
        <v>7.4141598575912625E-6</v>
      </c>
      <c r="M1958" s="4">
        <f t="shared" si="1045"/>
        <v>7.4141598575912625E-6</v>
      </c>
      <c r="N1958" t="s">
        <v>256</v>
      </c>
      <c r="O1958" t="s">
        <v>280</v>
      </c>
      <c r="P1958" t="s">
        <v>378</v>
      </c>
      <c r="Q1958" s="4" t="s">
        <v>245</v>
      </c>
    </row>
    <row r="1959" spans="1:17" x14ac:dyDescent="0.25">
      <c r="A1959" t="s">
        <v>378</v>
      </c>
      <c r="B1959" t="s">
        <v>149</v>
      </c>
      <c r="C1959" s="4">
        <f t="shared" ref="C1959:M1959" si="1046">(0.00247367761416449/(0.00247367761416449+0.832079466311379+0.0127000784696626))*0.557825001326583%</f>
        <v>1.62865030421707E-5</v>
      </c>
      <c r="D1959" s="4">
        <f t="shared" si="1046"/>
        <v>1.62865030421707E-5</v>
      </c>
      <c r="E1959" s="4">
        <f t="shared" si="1046"/>
        <v>1.62865030421707E-5</v>
      </c>
      <c r="F1959" s="4">
        <f t="shared" si="1046"/>
        <v>1.62865030421707E-5</v>
      </c>
      <c r="G1959" s="4">
        <f t="shared" si="1046"/>
        <v>1.62865030421707E-5</v>
      </c>
      <c r="H1959" s="4">
        <f t="shared" si="1046"/>
        <v>1.62865030421707E-5</v>
      </c>
      <c r="I1959" s="4">
        <f t="shared" si="1046"/>
        <v>1.62865030421707E-5</v>
      </c>
      <c r="J1959" s="4">
        <f t="shared" si="1046"/>
        <v>1.62865030421707E-5</v>
      </c>
      <c r="K1959" s="4">
        <f t="shared" si="1046"/>
        <v>1.62865030421707E-5</v>
      </c>
      <c r="L1959" s="4">
        <f t="shared" si="1046"/>
        <v>1.62865030421707E-5</v>
      </c>
      <c r="M1959" s="4">
        <f t="shared" si="1046"/>
        <v>1.62865030421707E-5</v>
      </c>
      <c r="N1959" t="s">
        <v>242</v>
      </c>
      <c r="O1959" t="s">
        <v>380</v>
      </c>
      <c r="P1959" t="s">
        <v>378</v>
      </c>
      <c r="Q1959" s="4" t="s">
        <v>245</v>
      </c>
    </row>
    <row r="1960" spans="1:17" x14ac:dyDescent="0.25">
      <c r="A1960" t="s">
        <v>378</v>
      </c>
      <c r="B1960" t="s">
        <v>149</v>
      </c>
      <c r="C1960" s="4">
        <f t="shared" ref="C1960:M1960" si="1047">(0.832079466311379/(0.00247367761416449+0.832079466311379+0.0127000784696626)) * 0.557825001326583%</f>
        <v>5.4783471709530986E-3</v>
      </c>
      <c r="D1960" s="4">
        <f t="shared" si="1047"/>
        <v>5.4783471709530986E-3</v>
      </c>
      <c r="E1960" s="4">
        <f t="shared" si="1047"/>
        <v>5.4783471709530986E-3</v>
      </c>
      <c r="F1960" s="4">
        <f t="shared" si="1047"/>
        <v>5.4783471709530986E-3</v>
      </c>
      <c r="G1960" s="4">
        <f t="shared" si="1047"/>
        <v>5.4783471709530986E-3</v>
      </c>
      <c r="H1960" s="4">
        <f t="shared" si="1047"/>
        <v>5.4783471709530986E-3</v>
      </c>
      <c r="I1960" s="4">
        <f t="shared" si="1047"/>
        <v>5.4783471709530986E-3</v>
      </c>
      <c r="J1960" s="4">
        <f t="shared" si="1047"/>
        <v>5.4783471709530986E-3</v>
      </c>
      <c r="K1960" s="4">
        <f t="shared" si="1047"/>
        <v>5.4783471709530986E-3</v>
      </c>
      <c r="L1960" s="4">
        <f t="shared" si="1047"/>
        <v>5.4783471709530986E-3</v>
      </c>
      <c r="M1960" s="4">
        <f t="shared" si="1047"/>
        <v>5.4783471709530986E-3</v>
      </c>
      <c r="N1960" t="s">
        <v>242</v>
      </c>
      <c r="O1960" t="s">
        <v>315</v>
      </c>
      <c r="P1960" t="s">
        <v>378</v>
      </c>
      <c r="Q1960" s="4" t="s">
        <v>245</v>
      </c>
    </row>
    <row r="1961" spans="1:17" x14ac:dyDescent="0.25">
      <c r="A1961" t="s">
        <v>378</v>
      </c>
      <c r="B1961" t="s">
        <v>149</v>
      </c>
      <c r="C1961" s="4">
        <f t="shared" ref="C1961:M1961" si="1048">(0.0127000784696626/(0.00247367761416449+0.832079466311379+0.0127000784696626)) * 0.557825001326583%</f>
        <v>8.3616339270559651E-5</v>
      </c>
      <c r="D1961" s="4">
        <f t="shared" si="1048"/>
        <v>8.3616339270559651E-5</v>
      </c>
      <c r="E1961" s="4">
        <f t="shared" si="1048"/>
        <v>8.3616339270559651E-5</v>
      </c>
      <c r="F1961" s="4">
        <f t="shared" si="1048"/>
        <v>8.3616339270559651E-5</v>
      </c>
      <c r="G1961" s="4">
        <f t="shared" si="1048"/>
        <v>8.3616339270559651E-5</v>
      </c>
      <c r="H1961" s="4">
        <f t="shared" si="1048"/>
        <v>8.3616339270559651E-5</v>
      </c>
      <c r="I1961" s="4">
        <f t="shared" si="1048"/>
        <v>8.3616339270559651E-5</v>
      </c>
      <c r="J1961" s="4">
        <f t="shared" si="1048"/>
        <v>8.3616339270559651E-5</v>
      </c>
      <c r="K1961" s="4">
        <f t="shared" si="1048"/>
        <v>8.3616339270559651E-5</v>
      </c>
      <c r="L1961" s="4">
        <f t="shared" si="1048"/>
        <v>8.3616339270559651E-5</v>
      </c>
      <c r="M1961" s="4">
        <f t="shared" si="1048"/>
        <v>8.3616339270559651E-5</v>
      </c>
      <c r="N1961" t="s">
        <v>256</v>
      </c>
      <c r="O1961" t="s">
        <v>280</v>
      </c>
      <c r="P1961" t="s">
        <v>378</v>
      </c>
      <c r="Q1961" s="4" t="s">
        <v>245</v>
      </c>
    </row>
    <row r="1962" spans="1:17" x14ac:dyDescent="0.25">
      <c r="A1962" t="s">
        <v>378</v>
      </c>
      <c r="B1962" t="s">
        <v>230</v>
      </c>
      <c r="C1962" s="4">
        <f t="shared" ref="C1962:M1962" si="1049">(0.00247367761416449/(0.00247367761416449+0.832079466311379+0.0127000784696626))*0.104046092191552%</f>
        <v>3.0377752753530659E-6</v>
      </c>
      <c r="D1962" s="4">
        <f t="shared" si="1049"/>
        <v>3.0377752753530659E-6</v>
      </c>
      <c r="E1962" s="4">
        <f t="shared" si="1049"/>
        <v>3.0377752753530659E-6</v>
      </c>
      <c r="F1962" s="4">
        <f t="shared" si="1049"/>
        <v>3.0377752753530659E-6</v>
      </c>
      <c r="G1962" s="4">
        <f t="shared" si="1049"/>
        <v>3.0377752753530659E-6</v>
      </c>
      <c r="H1962" s="4">
        <f t="shared" si="1049"/>
        <v>3.0377752753530659E-6</v>
      </c>
      <c r="I1962" s="4">
        <f t="shared" si="1049"/>
        <v>3.0377752753530659E-6</v>
      </c>
      <c r="J1962" s="4">
        <f t="shared" si="1049"/>
        <v>3.0377752753530659E-6</v>
      </c>
      <c r="K1962" s="4">
        <f t="shared" si="1049"/>
        <v>3.0377752753530659E-6</v>
      </c>
      <c r="L1962" s="4">
        <f t="shared" si="1049"/>
        <v>3.0377752753530659E-6</v>
      </c>
      <c r="M1962" s="4">
        <f t="shared" si="1049"/>
        <v>3.0377752753530659E-6</v>
      </c>
      <c r="N1962" t="s">
        <v>242</v>
      </c>
      <c r="O1962" t="s">
        <v>380</v>
      </c>
      <c r="P1962" t="s">
        <v>378</v>
      </c>
      <c r="Q1962" s="4" t="s">
        <v>245</v>
      </c>
    </row>
    <row r="1963" spans="1:17" x14ac:dyDescent="0.25">
      <c r="A1963" t="s">
        <v>378</v>
      </c>
      <c r="B1963" t="s">
        <v>230</v>
      </c>
      <c r="C1963" s="4">
        <f t="shared" ref="C1963:M1963" si="1050">(0.832079466311379/(0.00247367761416449+0.832079466311379+0.0127000784696626)) * 0.104046092191552%</f>
        <v>1.0218269411567714E-3</v>
      </c>
      <c r="D1963" s="4">
        <f t="shared" si="1050"/>
        <v>1.0218269411567714E-3</v>
      </c>
      <c r="E1963" s="4">
        <f t="shared" si="1050"/>
        <v>1.0218269411567714E-3</v>
      </c>
      <c r="F1963" s="4">
        <f t="shared" si="1050"/>
        <v>1.0218269411567714E-3</v>
      </c>
      <c r="G1963" s="4">
        <f t="shared" si="1050"/>
        <v>1.0218269411567714E-3</v>
      </c>
      <c r="H1963" s="4">
        <f t="shared" si="1050"/>
        <v>1.0218269411567714E-3</v>
      </c>
      <c r="I1963" s="4">
        <f t="shared" si="1050"/>
        <v>1.0218269411567714E-3</v>
      </c>
      <c r="J1963" s="4">
        <f t="shared" si="1050"/>
        <v>1.0218269411567714E-3</v>
      </c>
      <c r="K1963" s="4">
        <f t="shared" si="1050"/>
        <v>1.0218269411567714E-3</v>
      </c>
      <c r="L1963" s="4">
        <f t="shared" si="1050"/>
        <v>1.0218269411567714E-3</v>
      </c>
      <c r="M1963" s="4">
        <f t="shared" si="1050"/>
        <v>1.0218269411567714E-3</v>
      </c>
      <c r="N1963" t="s">
        <v>242</v>
      </c>
      <c r="O1963" t="s">
        <v>315</v>
      </c>
      <c r="P1963" t="s">
        <v>378</v>
      </c>
      <c r="Q1963" s="4" t="s">
        <v>245</v>
      </c>
    </row>
    <row r="1964" spans="1:17" x14ac:dyDescent="0.25">
      <c r="A1964" t="s">
        <v>378</v>
      </c>
      <c r="B1964" t="s">
        <v>230</v>
      </c>
      <c r="C1964" s="4">
        <f t="shared" ref="C1964:M1964" si="1051">(0.0127000784696626/(0.00247367761416449+0.832079466311379+0.0127000784696626)) * 0.104046092191552%</f>
        <v>1.5596205483395471E-5</v>
      </c>
      <c r="D1964" s="4">
        <f t="shared" si="1051"/>
        <v>1.5596205483395471E-5</v>
      </c>
      <c r="E1964" s="4">
        <f t="shared" si="1051"/>
        <v>1.5596205483395471E-5</v>
      </c>
      <c r="F1964" s="4">
        <f t="shared" si="1051"/>
        <v>1.5596205483395471E-5</v>
      </c>
      <c r="G1964" s="4">
        <f t="shared" si="1051"/>
        <v>1.5596205483395471E-5</v>
      </c>
      <c r="H1964" s="4">
        <f t="shared" si="1051"/>
        <v>1.5596205483395471E-5</v>
      </c>
      <c r="I1964" s="4">
        <f t="shared" si="1051"/>
        <v>1.5596205483395471E-5</v>
      </c>
      <c r="J1964" s="4">
        <f t="shared" si="1051"/>
        <v>1.5596205483395471E-5</v>
      </c>
      <c r="K1964" s="4">
        <f t="shared" si="1051"/>
        <v>1.5596205483395471E-5</v>
      </c>
      <c r="L1964" s="4">
        <f t="shared" si="1051"/>
        <v>1.5596205483395471E-5</v>
      </c>
      <c r="M1964" s="4">
        <f t="shared" si="1051"/>
        <v>1.5596205483395471E-5</v>
      </c>
      <c r="N1964" t="s">
        <v>256</v>
      </c>
      <c r="O1964" t="s">
        <v>280</v>
      </c>
      <c r="P1964" t="s">
        <v>378</v>
      </c>
      <c r="Q1964" s="4" t="s">
        <v>245</v>
      </c>
    </row>
    <row r="1965" spans="1:17" x14ac:dyDescent="0.25">
      <c r="A1965" t="s">
        <v>378</v>
      </c>
      <c r="B1965" t="s">
        <v>171</v>
      </c>
      <c r="C1965" s="4">
        <f t="shared" ref="C1965:M1965" si="1052">(0.00247367761416449/(0.00247367761416449+0.832079466311379+0.0127000784696626))*0.00699351989188718%</f>
        <v>2.0418586962547819E-7</v>
      </c>
      <c r="D1965" s="4">
        <f t="shared" si="1052"/>
        <v>2.0418586962547819E-7</v>
      </c>
      <c r="E1965" s="4">
        <f t="shared" si="1052"/>
        <v>2.0418586962547819E-7</v>
      </c>
      <c r="F1965" s="4">
        <f t="shared" si="1052"/>
        <v>2.0418586962547819E-7</v>
      </c>
      <c r="G1965" s="4">
        <f t="shared" si="1052"/>
        <v>2.0418586962547819E-7</v>
      </c>
      <c r="H1965" s="4">
        <f t="shared" si="1052"/>
        <v>2.0418586962547819E-7</v>
      </c>
      <c r="I1965" s="4">
        <f t="shared" si="1052"/>
        <v>2.0418586962547819E-7</v>
      </c>
      <c r="J1965" s="4">
        <f t="shared" si="1052"/>
        <v>2.0418586962547819E-7</v>
      </c>
      <c r="K1965" s="4">
        <f t="shared" si="1052"/>
        <v>2.0418586962547819E-7</v>
      </c>
      <c r="L1965" s="4">
        <f t="shared" si="1052"/>
        <v>2.0418586962547819E-7</v>
      </c>
      <c r="M1965" s="4">
        <f t="shared" si="1052"/>
        <v>2.0418586962547819E-7</v>
      </c>
      <c r="N1965" t="s">
        <v>242</v>
      </c>
      <c r="O1965" t="s">
        <v>380</v>
      </c>
      <c r="P1965" t="s">
        <v>378</v>
      </c>
      <c r="Q1965" s="4" t="s">
        <v>245</v>
      </c>
    </row>
    <row r="1966" spans="1:17" x14ac:dyDescent="0.25">
      <c r="A1966" t="s">
        <v>378</v>
      </c>
      <c r="B1966" t="s">
        <v>171</v>
      </c>
      <c r="C1966" s="4">
        <f t="shared" ref="C1966:M1966" si="1053">(0.832079466311379/(0.00247367761416449+0.832079466311379+0.0127000784696626)) * 0.00699351989188718%</f>
        <v>6.8682704833256041E-5</v>
      </c>
      <c r="D1966" s="4">
        <f t="shared" si="1053"/>
        <v>6.8682704833256041E-5</v>
      </c>
      <c r="E1966" s="4">
        <f t="shared" si="1053"/>
        <v>6.8682704833256041E-5</v>
      </c>
      <c r="F1966" s="4">
        <f t="shared" si="1053"/>
        <v>6.8682704833256041E-5</v>
      </c>
      <c r="G1966" s="4">
        <f t="shared" si="1053"/>
        <v>6.8682704833256041E-5</v>
      </c>
      <c r="H1966" s="4">
        <f t="shared" si="1053"/>
        <v>6.8682704833256041E-5</v>
      </c>
      <c r="I1966" s="4">
        <f t="shared" si="1053"/>
        <v>6.8682704833256041E-5</v>
      </c>
      <c r="J1966" s="4">
        <f t="shared" si="1053"/>
        <v>6.8682704833256041E-5</v>
      </c>
      <c r="K1966" s="4">
        <f t="shared" si="1053"/>
        <v>6.8682704833256041E-5</v>
      </c>
      <c r="L1966" s="4">
        <f t="shared" si="1053"/>
        <v>6.8682704833256041E-5</v>
      </c>
      <c r="M1966" s="4">
        <f t="shared" si="1053"/>
        <v>6.8682704833256041E-5</v>
      </c>
      <c r="N1966" t="s">
        <v>242</v>
      </c>
      <c r="O1966" t="s">
        <v>315</v>
      </c>
      <c r="P1966" t="s">
        <v>378</v>
      </c>
      <c r="Q1966" s="4" t="s">
        <v>245</v>
      </c>
    </row>
    <row r="1967" spans="1:17" x14ac:dyDescent="0.25">
      <c r="A1967" t="s">
        <v>378</v>
      </c>
      <c r="B1967" t="s">
        <v>171</v>
      </c>
      <c r="C1967" s="4">
        <f t="shared" ref="C1967:M1967" si="1054">(0.0127000784696626/(0.00247367761416449+0.832079466311379+0.0127000784696626)) * 0.00699351989188718%</f>
        <v>1.0483082159902806E-6</v>
      </c>
      <c r="D1967" s="4">
        <f t="shared" si="1054"/>
        <v>1.0483082159902806E-6</v>
      </c>
      <c r="E1967" s="4">
        <f t="shared" si="1054"/>
        <v>1.0483082159902806E-6</v>
      </c>
      <c r="F1967" s="4">
        <f t="shared" si="1054"/>
        <v>1.0483082159902806E-6</v>
      </c>
      <c r="G1967" s="4">
        <f t="shared" si="1054"/>
        <v>1.0483082159902806E-6</v>
      </c>
      <c r="H1967" s="4">
        <f t="shared" si="1054"/>
        <v>1.0483082159902806E-6</v>
      </c>
      <c r="I1967" s="4">
        <f t="shared" si="1054"/>
        <v>1.0483082159902806E-6</v>
      </c>
      <c r="J1967" s="4">
        <f t="shared" si="1054"/>
        <v>1.0483082159902806E-6</v>
      </c>
      <c r="K1967" s="4">
        <f t="shared" si="1054"/>
        <v>1.0483082159902806E-6</v>
      </c>
      <c r="L1967" s="4">
        <f t="shared" si="1054"/>
        <v>1.0483082159902806E-6</v>
      </c>
      <c r="M1967" s="4">
        <f t="shared" si="1054"/>
        <v>1.0483082159902806E-6</v>
      </c>
      <c r="N1967" t="s">
        <v>256</v>
      </c>
      <c r="O1967" t="s">
        <v>280</v>
      </c>
      <c r="P1967" t="s">
        <v>378</v>
      </c>
      <c r="Q1967" s="4" t="s">
        <v>245</v>
      </c>
    </row>
    <row r="1968" spans="1:17" x14ac:dyDescent="0.25">
      <c r="A1968" t="s">
        <v>378</v>
      </c>
      <c r="B1968" t="s">
        <v>150</v>
      </c>
      <c r="C1968" s="4">
        <f t="shared" ref="C1968:M1968" si="1055">(0.00247367761416449/(0.00247367761416449+0.832079466311379+0.0127000784696626))*6.93531195163701%</f>
        <v>2.024864051093514E-4</v>
      </c>
      <c r="D1968" s="4">
        <f t="shared" si="1055"/>
        <v>2.024864051093514E-4</v>
      </c>
      <c r="E1968" s="4">
        <f t="shared" si="1055"/>
        <v>2.024864051093514E-4</v>
      </c>
      <c r="F1968" s="4">
        <f t="shared" si="1055"/>
        <v>2.024864051093514E-4</v>
      </c>
      <c r="G1968" s="4">
        <f t="shared" si="1055"/>
        <v>2.024864051093514E-4</v>
      </c>
      <c r="H1968" s="4">
        <f t="shared" si="1055"/>
        <v>2.024864051093514E-4</v>
      </c>
      <c r="I1968" s="4">
        <f t="shared" si="1055"/>
        <v>2.024864051093514E-4</v>
      </c>
      <c r="J1968" s="4">
        <f t="shared" si="1055"/>
        <v>2.024864051093514E-4</v>
      </c>
      <c r="K1968" s="4">
        <f t="shared" si="1055"/>
        <v>2.024864051093514E-4</v>
      </c>
      <c r="L1968" s="4">
        <f t="shared" si="1055"/>
        <v>2.024864051093514E-4</v>
      </c>
      <c r="M1968" s="4">
        <f t="shared" si="1055"/>
        <v>2.024864051093514E-4</v>
      </c>
      <c r="N1968" t="s">
        <v>242</v>
      </c>
      <c r="O1968" t="s">
        <v>380</v>
      </c>
      <c r="P1968" t="s">
        <v>378</v>
      </c>
      <c r="Q1968" s="4" t="s">
        <v>245</v>
      </c>
    </row>
    <row r="1969" spans="1:17" x14ac:dyDescent="0.25">
      <c r="A1969" t="s">
        <v>378</v>
      </c>
      <c r="B1969" t="s">
        <v>150</v>
      </c>
      <c r="C1969" s="4">
        <f t="shared" ref="C1969:M1969" si="1056">(0.832079466311379/(0.00247367761416449+0.832079466311379+0.0127000784696626)) * 6.93531195163701%</f>
        <v>6.8111050095590667E-2</v>
      </c>
      <c r="D1969" s="4">
        <f t="shared" si="1056"/>
        <v>6.8111050095590667E-2</v>
      </c>
      <c r="E1969" s="4">
        <f t="shared" si="1056"/>
        <v>6.8111050095590667E-2</v>
      </c>
      <c r="F1969" s="4">
        <f t="shared" si="1056"/>
        <v>6.8111050095590667E-2</v>
      </c>
      <c r="G1969" s="4">
        <f t="shared" si="1056"/>
        <v>6.8111050095590667E-2</v>
      </c>
      <c r="H1969" s="4">
        <f t="shared" si="1056"/>
        <v>6.8111050095590667E-2</v>
      </c>
      <c r="I1969" s="4">
        <f t="shared" si="1056"/>
        <v>6.8111050095590667E-2</v>
      </c>
      <c r="J1969" s="4">
        <f t="shared" si="1056"/>
        <v>6.8111050095590667E-2</v>
      </c>
      <c r="K1969" s="4">
        <f t="shared" si="1056"/>
        <v>6.8111050095590667E-2</v>
      </c>
      <c r="L1969" s="4">
        <f t="shared" si="1056"/>
        <v>6.8111050095590667E-2</v>
      </c>
      <c r="M1969" s="4">
        <f t="shared" si="1056"/>
        <v>6.8111050095590667E-2</v>
      </c>
      <c r="N1969" t="s">
        <v>242</v>
      </c>
      <c r="O1969" t="s">
        <v>315</v>
      </c>
      <c r="P1969" t="s">
        <v>378</v>
      </c>
      <c r="Q1969" s="4" t="s">
        <v>245</v>
      </c>
    </row>
    <row r="1970" spans="1:17" x14ac:dyDescent="0.25">
      <c r="A1970" t="s">
        <v>378</v>
      </c>
      <c r="B1970" t="s">
        <v>150</v>
      </c>
      <c r="C1970" s="4">
        <f t="shared" ref="C1970:M1970" si="1057">(0.0127000784696626/(0.00247367761416449+0.832079466311379+0.0127000784696626)) * 6.93531195163701%</f>
        <v>1.0395830156700655E-3</v>
      </c>
      <c r="D1970" s="4">
        <f t="shared" si="1057"/>
        <v>1.0395830156700655E-3</v>
      </c>
      <c r="E1970" s="4">
        <f t="shared" si="1057"/>
        <v>1.0395830156700655E-3</v>
      </c>
      <c r="F1970" s="4">
        <f t="shared" si="1057"/>
        <v>1.0395830156700655E-3</v>
      </c>
      <c r="G1970" s="4">
        <f t="shared" si="1057"/>
        <v>1.0395830156700655E-3</v>
      </c>
      <c r="H1970" s="4">
        <f t="shared" si="1057"/>
        <v>1.0395830156700655E-3</v>
      </c>
      <c r="I1970" s="4">
        <f t="shared" si="1057"/>
        <v>1.0395830156700655E-3</v>
      </c>
      <c r="J1970" s="4">
        <f t="shared" si="1057"/>
        <v>1.0395830156700655E-3</v>
      </c>
      <c r="K1970" s="4">
        <f t="shared" si="1057"/>
        <v>1.0395830156700655E-3</v>
      </c>
      <c r="L1970" s="4">
        <f t="shared" si="1057"/>
        <v>1.0395830156700655E-3</v>
      </c>
      <c r="M1970" s="4">
        <f t="shared" si="1057"/>
        <v>1.0395830156700655E-3</v>
      </c>
      <c r="N1970" t="s">
        <v>256</v>
      </c>
      <c r="O1970" t="s">
        <v>280</v>
      </c>
      <c r="P1970" t="s">
        <v>378</v>
      </c>
      <c r="Q1970" s="4" t="s">
        <v>245</v>
      </c>
    </row>
    <row r="1971" spans="1:17" x14ac:dyDescent="0.25">
      <c r="A1971" t="s">
        <v>378</v>
      </c>
      <c r="B1971" t="s">
        <v>173</v>
      </c>
      <c r="C1971" s="4">
        <f t="shared" ref="C1971:M1971" si="1058">(0.00247367761416449/(0.00247367761416449+0.832079466311379+0.0127000784696626))*0.238216771317407%</f>
        <v>6.9550811841178494E-6</v>
      </c>
      <c r="D1971" s="4">
        <f t="shared" si="1058"/>
        <v>6.9550811841178494E-6</v>
      </c>
      <c r="E1971" s="4">
        <f t="shared" si="1058"/>
        <v>6.9550811841178494E-6</v>
      </c>
      <c r="F1971" s="4">
        <f t="shared" si="1058"/>
        <v>6.9550811841178494E-6</v>
      </c>
      <c r="G1971" s="4">
        <f t="shared" si="1058"/>
        <v>6.9550811841178494E-6</v>
      </c>
      <c r="H1971" s="4">
        <f t="shared" si="1058"/>
        <v>6.9550811841178494E-6</v>
      </c>
      <c r="I1971" s="4">
        <f t="shared" si="1058"/>
        <v>6.9550811841178494E-6</v>
      </c>
      <c r="J1971" s="4">
        <f t="shared" si="1058"/>
        <v>6.9550811841178494E-6</v>
      </c>
      <c r="K1971" s="4">
        <f t="shared" si="1058"/>
        <v>6.9550811841178494E-6</v>
      </c>
      <c r="L1971" s="4">
        <f t="shared" si="1058"/>
        <v>6.9550811841178494E-6</v>
      </c>
      <c r="M1971" s="4">
        <f t="shared" si="1058"/>
        <v>6.9550811841178494E-6</v>
      </c>
      <c r="N1971" t="s">
        <v>242</v>
      </c>
      <c r="O1971" t="s">
        <v>380</v>
      </c>
      <c r="P1971" t="s">
        <v>378</v>
      </c>
      <c r="Q1971" s="4" t="s">
        <v>245</v>
      </c>
    </row>
    <row r="1972" spans="1:17" x14ac:dyDescent="0.25">
      <c r="A1972" t="s">
        <v>378</v>
      </c>
      <c r="B1972" t="s">
        <v>173</v>
      </c>
      <c r="C1972" s="4">
        <f t="shared" ref="C1972:M1972" si="1059">(0.832079466311379/(0.00247367761416449+0.832079466311379+0.0127000784696626)) * 0.238216771317407%</f>
        <v>2.3395046333827834E-3</v>
      </c>
      <c r="D1972" s="4">
        <f t="shared" si="1059"/>
        <v>2.3395046333827834E-3</v>
      </c>
      <c r="E1972" s="4">
        <f t="shared" si="1059"/>
        <v>2.3395046333827834E-3</v>
      </c>
      <c r="F1972" s="4">
        <f t="shared" si="1059"/>
        <v>2.3395046333827834E-3</v>
      </c>
      <c r="G1972" s="4">
        <f t="shared" si="1059"/>
        <v>2.3395046333827834E-3</v>
      </c>
      <c r="H1972" s="4">
        <f t="shared" si="1059"/>
        <v>2.3395046333827834E-3</v>
      </c>
      <c r="I1972" s="4">
        <f t="shared" si="1059"/>
        <v>2.3395046333827834E-3</v>
      </c>
      <c r="J1972" s="4">
        <f t="shared" si="1059"/>
        <v>2.3395046333827834E-3</v>
      </c>
      <c r="K1972" s="4">
        <f t="shared" si="1059"/>
        <v>2.3395046333827834E-3</v>
      </c>
      <c r="L1972" s="4">
        <f t="shared" si="1059"/>
        <v>2.3395046333827834E-3</v>
      </c>
      <c r="M1972" s="4">
        <f t="shared" si="1059"/>
        <v>2.3395046333827834E-3</v>
      </c>
      <c r="N1972" t="s">
        <v>242</v>
      </c>
      <c r="O1972" t="s">
        <v>315</v>
      </c>
      <c r="P1972" t="s">
        <v>378</v>
      </c>
      <c r="Q1972" s="4" t="s">
        <v>245</v>
      </c>
    </row>
    <row r="1973" spans="1:17" x14ac:dyDescent="0.25">
      <c r="A1973" t="s">
        <v>378</v>
      </c>
      <c r="B1973" t="s">
        <v>173</v>
      </c>
      <c r="C1973" s="4">
        <f t="shared" ref="C1973:M1973" si="1060">(0.0127000784696626/(0.00247367761416449+0.832079466311379+0.0127000784696626)) * 0.238216771317407%</f>
        <v>3.570799860716893E-5</v>
      </c>
      <c r="D1973" s="4">
        <f t="shared" si="1060"/>
        <v>3.570799860716893E-5</v>
      </c>
      <c r="E1973" s="4">
        <f t="shared" si="1060"/>
        <v>3.570799860716893E-5</v>
      </c>
      <c r="F1973" s="4">
        <f t="shared" si="1060"/>
        <v>3.570799860716893E-5</v>
      </c>
      <c r="G1973" s="4">
        <f t="shared" si="1060"/>
        <v>3.570799860716893E-5</v>
      </c>
      <c r="H1973" s="4">
        <f t="shared" si="1060"/>
        <v>3.570799860716893E-5</v>
      </c>
      <c r="I1973" s="4">
        <f t="shared" si="1060"/>
        <v>3.570799860716893E-5</v>
      </c>
      <c r="J1973" s="4">
        <f t="shared" si="1060"/>
        <v>3.570799860716893E-5</v>
      </c>
      <c r="K1973" s="4">
        <f t="shared" si="1060"/>
        <v>3.570799860716893E-5</v>
      </c>
      <c r="L1973" s="4">
        <f t="shared" si="1060"/>
        <v>3.570799860716893E-5</v>
      </c>
      <c r="M1973" s="4">
        <f t="shared" si="1060"/>
        <v>3.570799860716893E-5</v>
      </c>
      <c r="N1973" t="s">
        <v>256</v>
      </c>
      <c r="O1973" t="s">
        <v>280</v>
      </c>
      <c r="P1973" t="s">
        <v>378</v>
      </c>
      <c r="Q1973" s="4" t="s">
        <v>245</v>
      </c>
    </row>
    <row r="1974" spans="1:17" x14ac:dyDescent="0.25">
      <c r="A1974" t="s">
        <v>378</v>
      </c>
      <c r="B1974" t="s">
        <v>104</v>
      </c>
      <c r="C1974" s="4">
        <f t="shared" ref="C1974:M1974" si="1061">(0.00247367761416449/(0.00247367761416449+0.832079466311379+0.0127000784696626))*0.0451519128019966%</f>
        <v>1.3182750207694934E-6</v>
      </c>
      <c r="D1974" s="4">
        <f t="shared" si="1061"/>
        <v>1.3182750207694934E-6</v>
      </c>
      <c r="E1974" s="4">
        <f t="shared" si="1061"/>
        <v>1.3182750207694934E-6</v>
      </c>
      <c r="F1974" s="4">
        <f t="shared" si="1061"/>
        <v>1.3182750207694934E-6</v>
      </c>
      <c r="G1974" s="4">
        <f t="shared" si="1061"/>
        <v>1.3182750207694934E-6</v>
      </c>
      <c r="H1974" s="4">
        <f t="shared" si="1061"/>
        <v>1.3182750207694934E-6</v>
      </c>
      <c r="I1974" s="4">
        <f t="shared" si="1061"/>
        <v>1.3182750207694934E-6</v>
      </c>
      <c r="J1974" s="4">
        <f t="shared" si="1061"/>
        <v>1.3182750207694934E-6</v>
      </c>
      <c r="K1974" s="4">
        <f t="shared" si="1061"/>
        <v>1.3182750207694934E-6</v>
      </c>
      <c r="L1974" s="4">
        <f t="shared" si="1061"/>
        <v>1.3182750207694934E-6</v>
      </c>
      <c r="M1974" s="4">
        <f t="shared" si="1061"/>
        <v>1.3182750207694934E-6</v>
      </c>
      <c r="N1974" t="s">
        <v>242</v>
      </c>
      <c r="O1974" t="s">
        <v>380</v>
      </c>
      <c r="P1974" t="s">
        <v>378</v>
      </c>
      <c r="Q1974" s="4" t="s">
        <v>245</v>
      </c>
    </row>
    <row r="1975" spans="1:17" x14ac:dyDescent="0.25">
      <c r="A1975" t="s">
        <v>378</v>
      </c>
      <c r="B1975" t="s">
        <v>104</v>
      </c>
      <c r="C1975" s="4">
        <f t="shared" ref="C1975:M1975" si="1062">(0.832079466311379/(0.00247367761416449+0.832079466311379+0.0127000784696626)) * 0.0451519128019966%</f>
        <v>4.4343271307970927E-4</v>
      </c>
      <c r="D1975" s="4">
        <f t="shared" si="1062"/>
        <v>4.4343271307970927E-4</v>
      </c>
      <c r="E1975" s="4">
        <f t="shared" si="1062"/>
        <v>4.4343271307970927E-4</v>
      </c>
      <c r="F1975" s="4">
        <f t="shared" si="1062"/>
        <v>4.4343271307970927E-4</v>
      </c>
      <c r="G1975" s="4">
        <f t="shared" si="1062"/>
        <v>4.4343271307970927E-4</v>
      </c>
      <c r="H1975" s="4">
        <f t="shared" si="1062"/>
        <v>4.4343271307970927E-4</v>
      </c>
      <c r="I1975" s="4">
        <f t="shared" si="1062"/>
        <v>4.4343271307970927E-4</v>
      </c>
      <c r="J1975" s="4">
        <f t="shared" si="1062"/>
        <v>4.4343271307970927E-4</v>
      </c>
      <c r="K1975" s="4">
        <f t="shared" si="1062"/>
        <v>4.4343271307970927E-4</v>
      </c>
      <c r="L1975" s="4">
        <f t="shared" si="1062"/>
        <v>4.4343271307970927E-4</v>
      </c>
      <c r="M1975" s="4">
        <f t="shared" si="1062"/>
        <v>4.4343271307970927E-4</v>
      </c>
      <c r="N1975" t="s">
        <v>242</v>
      </c>
      <c r="O1975" t="s">
        <v>315</v>
      </c>
      <c r="P1975" t="s">
        <v>378</v>
      </c>
      <c r="Q1975" s="4" t="s">
        <v>245</v>
      </c>
    </row>
    <row r="1976" spans="1:17" x14ac:dyDescent="0.25">
      <c r="A1976" t="s">
        <v>378</v>
      </c>
      <c r="B1976" t="s">
        <v>104</v>
      </c>
      <c r="C1976" s="4">
        <f t="shared" ref="C1976:M1976" si="1063">(0.0127000784696626/(0.00247367761416449+0.832079466311379+0.0127000784696626)) * 0.0451519128019966%</f>
        <v>6.768139919487249E-6</v>
      </c>
      <c r="D1976" s="4">
        <f t="shared" si="1063"/>
        <v>6.768139919487249E-6</v>
      </c>
      <c r="E1976" s="4">
        <f t="shared" si="1063"/>
        <v>6.768139919487249E-6</v>
      </c>
      <c r="F1976" s="4">
        <f t="shared" si="1063"/>
        <v>6.768139919487249E-6</v>
      </c>
      <c r="G1976" s="4">
        <f t="shared" si="1063"/>
        <v>6.768139919487249E-6</v>
      </c>
      <c r="H1976" s="4">
        <f t="shared" si="1063"/>
        <v>6.768139919487249E-6</v>
      </c>
      <c r="I1976" s="4">
        <f t="shared" si="1063"/>
        <v>6.768139919487249E-6</v>
      </c>
      <c r="J1976" s="4">
        <f t="shared" si="1063"/>
        <v>6.768139919487249E-6</v>
      </c>
      <c r="K1976" s="4">
        <f t="shared" si="1063"/>
        <v>6.768139919487249E-6</v>
      </c>
      <c r="L1976" s="4">
        <f t="shared" si="1063"/>
        <v>6.768139919487249E-6</v>
      </c>
      <c r="M1976" s="4">
        <f t="shared" si="1063"/>
        <v>6.768139919487249E-6</v>
      </c>
      <c r="N1976" t="s">
        <v>256</v>
      </c>
      <c r="O1976" t="s">
        <v>280</v>
      </c>
      <c r="P1976" t="s">
        <v>378</v>
      </c>
      <c r="Q1976" s="4" t="s">
        <v>245</v>
      </c>
    </row>
    <row r="1977" spans="1:17" x14ac:dyDescent="0.25">
      <c r="A1977" t="s">
        <v>378</v>
      </c>
      <c r="B1977" t="s">
        <v>161</v>
      </c>
      <c r="C1977" s="4">
        <f t="shared" ref="C1977:M1977" si="1064">(0.00247367761416449/(0.00247367761416449+0.832079466311379+0.0127000784696626))*0.74850769212882%</f>
        <v>2.1853758393677897E-5</v>
      </c>
      <c r="D1977" s="4">
        <f t="shared" si="1064"/>
        <v>2.1853758393677897E-5</v>
      </c>
      <c r="E1977" s="4">
        <f t="shared" si="1064"/>
        <v>2.1853758393677897E-5</v>
      </c>
      <c r="F1977" s="4">
        <f t="shared" si="1064"/>
        <v>2.1853758393677897E-5</v>
      </c>
      <c r="G1977" s="4">
        <f t="shared" si="1064"/>
        <v>2.1853758393677897E-5</v>
      </c>
      <c r="H1977" s="4">
        <f t="shared" si="1064"/>
        <v>2.1853758393677897E-5</v>
      </c>
      <c r="I1977" s="4">
        <f t="shared" si="1064"/>
        <v>2.1853758393677897E-5</v>
      </c>
      <c r="J1977" s="4">
        <f t="shared" si="1064"/>
        <v>2.1853758393677897E-5</v>
      </c>
      <c r="K1977" s="4">
        <f t="shared" si="1064"/>
        <v>2.1853758393677897E-5</v>
      </c>
      <c r="L1977" s="4">
        <f t="shared" si="1064"/>
        <v>2.1853758393677897E-5</v>
      </c>
      <c r="M1977" s="4">
        <f t="shared" si="1064"/>
        <v>2.1853758393677897E-5</v>
      </c>
      <c r="N1977" t="s">
        <v>242</v>
      </c>
      <c r="O1977" t="s">
        <v>380</v>
      </c>
      <c r="P1977" t="s">
        <v>378</v>
      </c>
      <c r="Q1977" s="4" t="s">
        <v>245</v>
      </c>
    </row>
    <row r="1978" spans="1:17" x14ac:dyDescent="0.25">
      <c r="A1978" t="s">
        <v>378</v>
      </c>
      <c r="B1978" t="s">
        <v>161</v>
      </c>
      <c r="C1978" s="4">
        <f t="shared" ref="C1978:M1978" si="1065">(0.832079466311379/(0.00247367761416449+0.832079466311379+0.0127000784696626)) * 0.74850769212882%</f>
        <v>7.3510240449223517E-3</v>
      </c>
      <c r="D1978" s="4">
        <f t="shared" si="1065"/>
        <v>7.3510240449223517E-3</v>
      </c>
      <c r="E1978" s="4">
        <f t="shared" si="1065"/>
        <v>7.3510240449223517E-3</v>
      </c>
      <c r="F1978" s="4">
        <f t="shared" si="1065"/>
        <v>7.3510240449223517E-3</v>
      </c>
      <c r="G1978" s="4">
        <f t="shared" si="1065"/>
        <v>7.3510240449223517E-3</v>
      </c>
      <c r="H1978" s="4">
        <f t="shared" si="1065"/>
        <v>7.3510240449223517E-3</v>
      </c>
      <c r="I1978" s="4">
        <f t="shared" si="1065"/>
        <v>7.3510240449223517E-3</v>
      </c>
      <c r="J1978" s="4">
        <f t="shared" si="1065"/>
        <v>7.3510240449223517E-3</v>
      </c>
      <c r="K1978" s="4">
        <f t="shared" si="1065"/>
        <v>7.3510240449223517E-3</v>
      </c>
      <c r="L1978" s="4">
        <f t="shared" si="1065"/>
        <v>7.3510240449223517E-3</v>
      </c>
      <c r="M1978" s="4">
        <f t="shared" si="1065"/>
        <v>7.3510240449223517E-3</v>
      </c>
      <c r="N1978" t="s">
        <v>242</v>
      </c>
      <c r="O1978" t="s">
        <v>315</v>
      </c>
      <c r="P1978" t="s">
        <v>378</v>
      </c>
      <c r="Q1978" s="4" t="s">
        <v>245</v>
      </c>
    </row>
    <row r="1979" spans="1:17" x14ac:dyDescent="0.25">
      <c r="A1979" t="s">
        <v>378</v>
      </c>
      <c r="B1979" t="s">
        <v>161</v>
      </c>
      <c r="C1979" s="4">
        <f t="shared" ref="C1979:M1979" si="1066">(0.0127000784696626/(0.00247367761416449+0.832079466311379+0.0127000784696626)) * 0.74850769212882%</f>
        <v>1.1219911797216974E-4</v>
      </c>
      <c r="D1979" s="4">
        <f t="shared" si="1066"/>
        <v>1.1219911797216974E-4</v>
      </c>
      <c r="E1979" s="4">
        <f t="shared" si="1066"/>
        <v>1.1219911797216974E-4</v>
      </c>
      <c r="F1979" s="4">
        <f t="shared" si="1066"/>
        <v>1.1219911797216974E-4</v>
      </c>
      <c r="G1979" s="4">
        <f t="shared" si="1066"/>
        <v>1.1219911797216974E-4</v>
      </c>
      <c r="H1979" s="4">
        <f t="shared" si="1066"/>
        <v>1.1219911797216974E-4</v>
      </c>
      <c r="I1979" s="4">
        <f t="shared" si="1066"/>
        <v>1.1219911797216974E-4</v>
      </c>
      <c r="J1979" s="4">
        <f t="shared" si="1066"/>
        <v>1.1219911797216974E-4</v>
      </c>
      <c r="K1979" s="4">
        <f t="shared" si="1066"/>
        <v>1.1219911797216974E-4</v>
      </c>
      <c r="L1979" s="4">
        <f t="shared" si="1066"/>
        <v>1.1219911797216974E-4</v>
      </c>
      <c r="M1979" s="4">
        <f t="shared" si="1066"/>
        <v>1.1219911797216974E-4</v>
      </c>
      <c r="N1979" t="s">
        <v>256</v>
      </c>
      <c r="O1979" t="s">
        <v>280</v>
      </c>
      <c r="P1979" t="s">
        <v>378</v>
      </c>
      <c r="Q1979" s="4" t="s">
        <v>245</v>
      </c>
    </row>
    <row r="1980" spans="1:17" x14ac:dyDescent="0.25">
      <c r="A1980" t="s">
        <v>378</v>
      </c>
      <c r="B1980" t="s">
        <v>174</v>
      </c>
      <c r="C1980" s="4">
        <f t="shared" ref="C1980:M1980" si="1067">(0.00247367761416449/(0.00247367761416449+0.832079466311379+0.0127000784696626))*0.687039023229064%</f>
        <v>2.0059092215838456E-5</v>
      </c>
      <c r="D1980" s="4">
        <f t="shared" si="1067"/>
        <v>2.0059092215838456E-5</v>
      </c>
      <c r="E1980" s="4">
        <f t="shared" si="1067"/>
        <v>2.0059092215838456E-5</v>
      </c>
      <c r="F1980" s="4">
        <f t="shared" si="1067"/>
        <v>2.0059092215838456E-5</v>
      </c>
      <c r="G1980" s="4">
        <f t="shared" si="1067"/>
        <v>2.0059092215838456E-5</v>
      </c>
      <c r="H1980" s="4">
        <f t="shared" si="1067"/>
        <v>2.0059092215838456E-5</v>
      </c>
      <c r="I1980" s="4">
        <f t="shared" si="1067"/>
        <v>2.0059092215838456E-5</v>
      </c>
      <c r="J1980" s="4">
        <f t="shared" si="1067"/>
        <v>2.0059092215838456E-5</v>
      </c>
      <c r="K1980" s="4">
        <f t="shared" si="1067"/>
        <v>2.0059092215838456E-5</v>
      </c>
      <c r="L1980" s="4">
        <f t="shared" si="1067"/>
        <v>2.0059092215838456E-5</v>
      </c>
      <c r="M1980" s="4">
        <f t="shared" si="1067"/>
        <v>2.0059092215838456E-5</v>
      </c>
      <c r="N1980" t="s">
        <v>242</v>
      </c>
      <c r="O1980" t="s">
        <v>380</v>
      </c>
      <c r="P1980" t="s">
        <v>378</v>
      </c>
      <c r="Q1980" s="4" t="s">
        <v>245</v>
      </c>
    </row>
    <row r="1981" spans="1:17" x14ac:dyDescent="0.25">
      <c r="A1981" t="s">
        <v>378</v>
      </c>
      <c r="B1981" t="s">
        <v>174</v>
      </c>
      <c r="C1981" s="4">
        <f t="shared" ref="C1981:M1981" si="1068">(0.832079466311379/(0.00247367761416449+0.832079466311379+0.0127000784696626)) * 0.687039023229064%</f>
        <v>6.7473459961285504E-3</v>
      </c>
      <c r="D1981" s="4">
        <f t="shared" si="1068"/>
        <v>6.7473459961285504E-3</v>
      </c>
      <c r="E1981" s="4">
        <f t="shared" si="1068"/>
        <v>6.7473459961285504E-3</v>
      </c>
      <c r="F1981" s="4">
        <f t="shared" si="1068"/>
        <v>6.7473459961285504E-3</v>
      </c>
      <c r="G1981" s="4">
        <f t="shared" si="1068"/>
        <v>6.7473459961285504E-3</v>
      </c>
      <c r="H1981" s="4">
        <f t="shared" si="1068"/>
        <v>6.7473459961285504E-3</v>
      </c>
      <c r="I1981" s="4">
        <f t="shared" si="1068"/>
        <v>6.7473459961285504E-3</v>
      </c>
      <c r="J1981" s="4">
        <f t="shared" si="1068"/>
        <v>6.7473459961285504E-3</v>
      </c>
      <c r="K1981" s="4">
        <f t="shared" si="1068"/>
        <v>6.7473459961285504E-3</v>
      </c>
      <c r="L1981" s="4">
        <f t="shared" si="1068"/>
        <v>6.7473459961285504E-3</v>
      </c>
      <c r="M1981" s="4">
        <f t="shared" si="1068"/>
        <v>6.7473459961285504E-3</v>
      </c>
      <c r="N1981" t="s">
        <v>242</v>
      </c>
      <c r="O1981" t="s">
        <v>315</v>
      </c>
      <c r="P1981" t="s">
        <v>378</v>
      </c>
      <c r="Q1981" s="4" t="s">
        <v>245</v>
      </c>
    </row>
    <row r="1982" spans="1:17" x14ac:dyDescent="0.25">
      <c r="A1982" t="s">
        <v>378</v>
      </c>
      <c r="B1982" t="s">
        <v>174</v>
      </c>
      <c r="C1982" s="4">
        <f t="shared" ref="C1982:M1982" si="1069">(0.0127000784696626/(0.00247367761416449+0.832079466311379+0.0127000784696626)) * 0.687039023229064%</f>
        <v>1.0298514394625015E-4</v>
      </c>
      <c r="D1982" s="4">
        <f t="shared" si="1069"/>
        <v>1.0298514394625015E-4</v>
      </c>
      <c r="E1982" s="4">
        <f t="shared" si="1069"/>
        <v>1.0298514394625015E-4</v>
      </c>
      <c r="F1982" s="4">
        <f t="shared" si="1069"/>
        <v>1.0298514394625015E-4</v>
      </c>
      <c r="G1982" s="4">
        <f t="shared" si="1069"/>
        <v>1.0298514394625015E-4</v>
      </c>
      <c r="H1982" s="4">
        <f t="shared" si="1069"/>
        <v>1.0298514394625015E-4</v>
      </c>
      <c r="I1982" s="4">
        <f t="shared" si="1069"/>
        <v>1.0298514394625015E-4</v>
      </c>
      <c r="J1982" s="4">
        <f t="shared" si="1069"/>
        <v>1.0298514394625015E-4</v>
      </c>
      <c r="K1982" s="4">
        <f t="shared" si="1069"/>
        <v>1.0298514394625015E-4</v>
      </c>
      <c r="L1982" s="4">
        <f t="shared" si="1069"/>
        <v>1.0298514394625015E-4</v>
      </c>
      <c r="M1982" s="4">
        <f t="shared" si="1069"/>
        <v>1.0298514394625015E-4</v>
      </c>
      <c r="N1982" t="s">
        <v>256</v>
      </c>
      <c r="O1982" t="s">
        <v>280</v>
      </c>
      <c r="P1982" t="s">
        <v>378</v>
      </c>
      <c r="Q1982" s="4" t="s">
        <v>245</v>
      </c>
    </row>
    <row r="1983" spans="1:17" x14ac:dyDescent="0.25">
      <c r="A1983" t="s">
        <v>378</v>
      </c>
      <c r="B1983" t="s">
        <v>175</v>
      </c>
      <c r="C1983" s="4">
        <f t="shared" ref="C1983:M1983" si="1070">(0.00247367761416449/(0.00247367761416449+0.832079466311379+0.0127000784696626))*0.155028852203409%</f>
        <v>4.5262902649227861E-6</v>
      </c>
      <c r="D1983" s="4">
        <f t="shared" si="1070"/>
        <v>4.5262902649227861E-6</v>
      </c>
      <c r="E1983" s="4">
        <f t="shared" si="1070"/>
        <v>4.5262902649227861E-6</v>
      </c>
      <c r="F1983" s="4">
        <f t="shared" si="1070"/>
        <v>4.5262902649227861E-6</v>
      </c>
      <c r="G1983" s="4">
        <f t="shared" si="1070"/>
        <v>4.5262902649227861E-6</v>
      </c>
      <c r="H1983" s="4">
        <f t="shared" si="1070"/>
        <v>4.5262902649227861E-6</v>
      </c>
      <c r="I1983" s="4">
        <f t="shared" si="1070"/>
        <v>4.5262902649227861E-6</v>
      </c>
      <c r="J1983" s="4">
        <f t="shared" si="1070"/>
        <v>4.5262902649227861E-6</v>
      </c>
      <c r="K1983" s="4">
        <f t="shared" si="1070"/>
        <v>4.5262902649227861E-6</v>
      </c>
      <c r="L1983" s="4">
        <f t="shared" si="1070"/>
        <v>4.5262902649227861E-6</v>
      </c>
      <c r="M1983" s="4">
        <f t="shared" si="1070"/>
        <v>4.5262902649227861E-6</v>
      </c>
      <c r="N1983" t="s">
        <v>242</v>
      </c>
      <c r="O1983" t="s">
        <v>380</v>
      </c>
      <c r="P1983" t="s">
        <v>378</v>
      </c>
      <c r="Q1983" s="4" t="s">
        <v>245</v>
      </c>
    </row>
    <row r="1984" spans="1:17" x14ac:dyDescent="0.25">
      <c r="A1984" t="s">
        <v>378</v>
      </c>
      <c r="B1984" t="s">
        <v>175</v>
      </c>
      <c r="C1984" s="4">
        <f t="shared" ref="C1984:M1984" si="1071">(0.832079466311379/(0.00247367761416449+0.832079466311379+0.0127000784696626)) * 0.155028852203409%</f>
        <v>1.5225238593912028E-3</v>
      </c>
      <c r="D1984" s="4">
        <f t="shared" si="1071"/>
        <v>1.5225238593912028E-3</v>
      </c>
      <c r="E1984" s="4">
        <f t="shared" si="1071"/>
        <v>1.5225238593912028E-3</v>
      </c>
      <c r="F1984" s="4">
        <f t="shared" si="1071"/>
        <v>1.5225238593912028E-3</v>
      </c>
      <c r="G1984" s="4">
        <f t="shared" si="1071"/>
        <v>1.5225238593912028E-3</v>
      </c>
      <c r="H1984" s="4">
        <f t="shared" si="1071"/>
        <v>1.5225238593912028E-3</v>
      </c>
      <c r="I1984" s="4">
        <f t="shared" si="1071"/>
        <v>1.5225238593912028E-3</v>
      </c>
      <c r="J1984" s="4">
        <f t="shared" si="1071"/>
        <v>1.5225238593912028E-3</v>
      </c>
      <c r="K1984" s="4">
        <f t="shared" si="1071"/>
        <v>1.5225238593912028E-3</v>
      </c>
      <c r="L1984" s="4">
        <f t="shared" si="1071"/>
        <v>1.5225238593912028E-3</v>
      </c>
      <c r="M1984" s="4">
        <f t="shared" si="1071"/>
        <v>1.5225238593912028E-3</v>
      </c>
      <c r="N1984" t="s">
        <v>242</v>
      </c>
      <c r="O1984" t="s">
        <v>315</v>
      </c>
      <c r="P1984" t="s">
        <v>378</v>
      </c>
      <c r="Q1984" s="4" t="s">
        <v>245</v>
      </c>
    </row>
    <row r="1985" spans="1:17" x14ac:dyDescent="0.25">
      <c r="A1985" t="s">
        <v>378</v>
      </c>
      <c r="B1985" t="s">
        <v>175</v>
      </c>
      <c r="C1985" s="4">
        <f t="shared" ref="C1985:M1985" si="1072">(0.0127000784696626/(0.00247367761416449+0.832079466311379+0.0127000784696626)) * 0.155028852203409%</f>
        <v>2.3238372377964537E-5</v>
      </c>
      <c r="D1985" s="4">
        <f t="shared" si="1072"/>
        <v>2.3238372377964537E-5</v>
      </c>
      <c r="E1985" s="4">
        <f t="shared" si="1072"/>
        <v>2.3238372377964537E-5</v>
      </c>
      <c r="F1985" s="4">
        <f t="shared" si="1072"/>
        <v>2.3238372377964537E-5</v>
      </c>
      <c r="G1985" s="4">
        <f t="shared" si="1072"/>
        <v>2.3238372377964537E-5</v>
      </c>
      <c r="H1985" s="4">
        <f t="shared" si="1072"/>
        <v>2.3238372377964537E-5</v>
      </c>
      <c r="I1985" s="4">
        <f t="shared" si="1072"/>
        <v>2.3238372377964537E-5</v>
      </c>
      <c r="J1985" s="4">
        <f t="shared" si="1072"/>
        <v>2.3238372377964537E-5</v>
      </c>
      <c r="K1985" s="4">
        <f t="shared" si="1072"/>
        <v>2.3238372377964537E-5</v>
      </c>
      <c r="L1985" s="4">
        <f t="shared" si="1072"/>
        <v>2.3238372377964537E-5</v>
      </c>
      <c r="M1985" s="4">
        <f t="shared" si="1072"/>
        <v>2.3238372377964537E-5</v>
      </c>
      <c r="N1985" t="s">
        <v>256</v>
      </c>
      <c r="O1985" t="s">
        <v>280</v>
      </c>
      <c r="P1985" t="s">
        <v>378</v>
      </c>
      <c r="Q1985" s="4" t="s">
        <v>245</v>
      </c>
    </row>
    <row r="1986" spans="1:17" x14ac:dyDescent="0.25">
      <c r="A1986" t="s">
        <v>378</v>
      </c>
      <c r="B1986" t="s">
        <v>214</v>
      </c>
      <c r="C1986" s="4">
        <f t="shared" ref="C1986:M1986" si="1073">(0.00247367761416449/(0.00247367761416449+0.832079466311379+0.0127000784696626))*0.017046704736475%</f>
        <v>4.9770305721210297E-7</v>
      </c>
      <c r="D1986" s="4">
        <f t="shared" si="1073"/>
        <v>4.9770305721210297E-7</v>
      </c>
      <c r="E1986" s="4">
        <f t="shared" si="1073"/>
        <v>4.9770305721210297E-7</v>
      </c>
      <c r="F1986" s="4">
        <f t="shared" si="1073"/>
        <v>4.9770305721210297E-7</v>
      </c>
      <c r="G1986" s="4">
        <f t="shared" si="1073"/>
        <v>4.9770305721210297E-7</v>
      </c>
      <c r="H1986" s="4">
        <f t="shared" si="1073"/>
        <v>4.9770305721210297E-7</v>
      </c>
      <c r="I1986" s="4">
        <f t="shared" si="1073"/>
        <v>4.9770305721210297E-7</v>
      </c>
      <c r="J1986" s="4">
        <f t="shared" si="1073"/>
        <v>4.9770305721210297E-7</v>
      </c>
      <c r="K1986" s="4">
        <f t="shared" si="1073"/>
        <v>4.9770305721210297E-7</v>
      </c>
      <c r="L1986" s="4">
        <f t="shared" si="1073"/>
        <v>4.9770305721210297E-7</v>
      </c>
      <c r="M1986" s="4">
        <f t="shared" si="1073"/>
        <v>4.9770305721210297E-7</v>
      </c>
      <c r="N1986" t="s">
        <v>242</v>
      </c>
      <c r="O1986" t="s">
        <v>380</v>
      </c>
      <c r="P1986" t="s">
        <v>378</v>
      </c>
      <c r="Q1986" s="4" t="s">
        <v>245</v>
      </c>
    </row>
    <row r="1987" spans="1:17" x14ac:dyDescent="0.25">
      <c r="A1987" t="s">
        <v>378</v>
      </c>
      <c r="B1987" t="s">
        <v>214</v>
      </c>
      <c r="C1987" s="4">
        <f t="shared" ref="C1987:M1987" si="1074">(0.832079466311379/(0.00247367761416449+0.832079466311379+0.0127000784696626)) * 0.017046704736475%</f>
        <v>1.6741409303106157E-4</v>
      </c>
      <c r="D1987" s="4">
        <f t="shared" si="1074"/>
        <v>1.6741409303106157E-4</v>
      </c>
      <c r="E1987" s="4">
        <f t="shared" si="1074"/>
        <v>1.6741409303106157E-4</v>
      </c>
      <c r="F1987" s="4">
        <f t="shared" si="1074"/>
        <v>1.6741409303106157E-4</v>
      </c>
      <c r="G1987" s="4">
        <f t="shared" si="1074"/>
        <v>1.6741409303106157E-4</v>
      </c>
      <c r="H1987" s="4">
        <f t="shared" si="1074"/>
        <v>1.6741409303106157E-4</v>
      </c>
      <c r="I1987" s="4">
        <f t="shared" si="1074"/>
        <v>1.6741409303106157E-4</v>
      </c>
      <c r="J1987" s="4">
        <f t="shared" si="1074"/>
        <v>1.6741409303106157E-4</v>
      </c>
      <c r="K1987" s="4">
        <f t="shared" si="1074"/>
        <v>1.6741409303106157E-4</v>
      </c>
      <c r="L1987" s="4">
        <f t="shared" si="1074"/>
        <v>1.6741409303106157E-4</v>
      </c>
      <c r="M1987" s="4">
        <f t="shared" si="1074"/>
        <v>1.6741409303106157E-4</v>
      </c>
      <c r="N1987" t="s">
        <v>242</v>
      </c>
      <c r="O1987" t="s">
        <v>315</v>
      </c>
      <c r="P1987" t="s">
        <v>378</v>
      </c>
      <c r="Q1987" s="4" t="s">
        <v>245</v>
      </c>
    </row>
    <row r="1988" spans="1:17" x14ac:dyDescent="0.25">
      <c r="A1988" t="s">
        <v>378</v>
      </c>
      <c r="B1988" t="s">
        <v>214</v>
      </c>
      <c r="C1988" s="4">
        <f t="shared" ref="C1988:M1988" si="1075">(0.0127000784696626/(0.00247367761416449+0.832079466311379+0.0127000784696626)) * 0.017046704736475%</f>
        <v>2.5552512764763084E-6</v>
      </c>
      <c r="D1988" s="4">
        <f t="shared" si="1075"/>
        <v>2.5552512764763084E-6</v>
      </c>
      <c r="E1988" s="4">
        <f t="shared" si="1075"/>
        <v>2.5552512764763084E-6</v>
      </c>
      <c r="F1988" s="4">
        <f t="shared" si="1075"/>
        <v>2.5552512764763084E-6</v>
      </c>
      <c r="G1988" s="4">
        <f t="shared" si="1075"/>
        <v>2.5552512764763084E-6</v>
      </c>
      <c r="H1988" s="4">
        <f t="shared" si="1075"/>
        <v>2.5552512764763084E-6</v>
      </c>
      <c r="I1988" s="4">
        <f t="shared" si="1075"/>
        <v>2.5552512764763084E-6</v>
      </c>
      <c r="J1988" s="4">
        <f t="shared" si="1075"/>
        <v>2.5552512764763084E-6</v>
      </c>
      <c r="K1988" s="4">
        <f t="shared" si="1075"/>
        <v>2.5552512764763084E-6</v>
      </c>
      <c r="L1988" s="4">
        <f t="shared" si="1075"/>
        <v>2.5552512764763084E-6</v>
      </c>
      <c r="M1988" s="4">
        <f t="shared" si="1075"/>
        <v>2.5552512764763084E-6</v>
      </c>
      <c r="N1988" t="s">
        <v>256</v>
      </c>
      <c r="O1988" t="s">
        <v>280</v>
      </c>
      <c r="P1988" t="s">
        <v>378</v>
      </c>
      <c r="Q1988" s="4" t="s">
        <v>245</v>
      </c>
    </row>
    <row r="1989" spans="1:17" x14ac:dyDescent="0.25">
      <c r="A1989" t="s">
        <v>378</v>
      </c>
      <c r="B1989" t="s">
        <v>203</v>
      </c>
      <c r="C1989" s="4">
        <f t="shared" ref="C1989:M1989" si="1076">(0.00247367761416449/(0.00247367761416449+0.832079466311379+0.0127000784696626))*0.489546392432102%</f>
        <v>1.4293010873783455E-5</v>
      </c>
      <c r="D1989" s="4">
        <f t="shared" si="1076"/>
        <v>1.4293010873783455E-5</v>
      </c>
      <c r="E1989" s="4">
        <f t="shared" si="1076"/>
        <v>1.4293010873783455E-5</v>
      </c>
      <c r="F1989" s="4">
        <f t="shared" si="1076"/>
        <v>1.4293010873783455E-5</v>
      </c>
      <c r="G1989" s="4">
        <f t="shared" si="1076"/>
        <v>1.4293010873783455E-5</v>
      </c>
      <c r="H1989" s="4">
        <f t="shared" si="1076"/>
        <v>1.4293010873783455E-5</v>
      </c>
      <c r="I1989" s="4">
        <f t="shared" si="1076"/>
        <v>1.4293010873783455E-5</v>
      </c>
      <c r="J1989" s="4">
        <f t="shared" si="1076"/>
        <v>1.4293010873783455E-5</v>
      </c>
      <c r="K1989" s="4">
        <f t="shared" si="1076"/>
        <v>1.4293010873783455E-5</v>
      </c>
      <c r="L1989" s="4">
        <f t="shared" si="1076"/>
        <v>1.4293010873783455E-5</v>
      </c>
      <c r="M1989" s="4">
        <f t="shared" si="1076"/>
        <v>1.4293010873783455E-5</v>
      </c>
      <c r="N1989" t="s">
        <v>242</v>
      </c>
      <c r="O1989" t="s">
        <v>380</v>
      </c>
      <c r="P1989" t="s">
        <v>378</v>
      </c>
      <c r="Q1989" s="4" t="s">
        <v>245</v>
      </c>
    </row>
    <row r="1990" spans="1:17" x14ac:dyDescent="0.25">
      <c r="A1990" t="s">
        <v>378</v>
      </c>
      <c r="B1990" t="s">
        <v>203</v>
      </c>
      <c r="C1990" s="4">
        <f t="shared" ref="C1990:M1990" si="1077">(0.832079466311379/(0.00247367761416449+0.832079466311379+0.0127000784696626)) * 0.489546392432102%</f>
        <v>4.8077893383279167E-3</v>
      </c>
      <c r="D1990" s="4">
        <f t="shared" si="1077"/>
        <v>4.8077893383279167E-3</v>
      </c>
      <c r="E1990" s="4">
        <f t="shared" si="1077"/>
        <v>4.8077893383279167E-3</v>
      </c>
      <c r="F1990" s="4">
        <f t="shared" si="1077"/>
        <v>4.8077893383279167E-3</v>
      </c>
      <c r="G1990" s="4">
        <f t="shared" si="1077"/>
        <v>4.8077893383279167E-3</v>
      </c>
      <c r="H1990" s="4">
        <f t="shared" si="1077"/>
        <v>4.8077893383279167E-3</v>
      </c>
      <c r="I1990" s="4">
        <f t="shared" si="1077"/>
        <v>4.8077893383279167E-3</v>
      </c>
      <c r="J1990" s="4">
        <f t="shared" si="1077"/>
        <v>4.8077893383279167E-3</v>
      </c>
      <c r="K1990" s="4">
        <f t="shared" si="1077"/>
        <v>4.8077893383279167E-3</v>
      </c>
      <c r="L1990" s="4">
        <f t="shared" si="1077"/>
        <v>4.8077893383279167E-3</v>
      </c>
      <c r="M1990" s="4">
        <f t="shared" si="1077"/>
        <v>4.8077893383279167E-3</v>
      </c>
      <c r="N1990" t="s">
        <v>242</v>
      </c>
      <c r="O1990" t="s">
        <v>315</v>
      </c>
      <c r="P1990" t="s">
        <v>378</v>
      </c>
      <c r="Q1990" s="4" t="s">
        <v>245</v>
      </c>
    </row>
    <row r="1991" spans="1:17" x14ac:dyDescent="0.25">
      <c r="A1991" t="s">
        <v>378</v>
      </c>
      <c r="B1991" t="s">
        <v>203</v>
      </c>
      <c r="C1991" s="4">
        <f t="shared" ref="C1991:M1991" si="1078">(0.0127000784696626/(0.00247367761416449+0.832079466311379+0.0127000784696626)) * 0.489546392432102%</f>
        <v>7.3381575119319553E-5</v>
      </c>
      <c r="D1991" s="4">
        <f t="shared" si="1078"/>
        <v>7.3381575119319553E-5</v>
      </c>
      <c r="E1991" s="4">
        <f t="shared" si="1078"/>
        <v>7.3381575119319553E-5</v>
      </c>
      <c r="F1991" s="4">
        <f t="shared" si="1078"/>
        <v>7.3381575119319553E-5</v>
      </c>
      <c r="G1991" s="4">
        <f t="shared" si="1078"/>
        <v>7.3381575119319553E-5</v>
      </c>
      <c r="H1991" s="4">
        <f t="shared" si="1078"/>
        <v>7.3381575119319553E-5</v>
      </c>
      <c r="I1991" s="4">
        <f t="shared" si="1078"/>
        <v>7.3381575119319553E-5</v>
      </c>
      <c r="J1991" s="4">
        <f t="shared" si="1078"/>
        <v>7.3381575119319553E-5</v>
      </c>
      <c r="K1991" s="4">
        <f t="shared" si="1078"/>
        <v>7.3381575119319553E-5</v>
      </c>
      <c r="L1991" s="4">
        <f t="shared" si="1078"/>
        <v>7.3381575119319553E-5</v>
      </c>
      <c r="M1991" s="4">
        <f t="shared" si="1078"/>
        <v>7.3381575119319553E-5</v>
      </c>
      <c r="N1991" t="s">
        <v>256</v>
      </c>
      <c r="O1991" t="s">
        <v>280</v>
      </c>
      <c r="P1991" t="s">
        <v>378</v>
      </c>
      <c r="Q1991" s="4" t="s">
        <v>245</v>
      </c>
    </row>
    <row r="1992" spans="1:17" x14ac:dyDescent="0.25">
      <c r="A1992" t="s">
        <v>378</v>
      </c>
      <c r="B1992" t="s">
        <v>176</v>
      </c>
      <c r="C1992" s="4">
        <f t="shared" ref="C1992:M1992" si="1079">(0.00247367761416449/(0.00247367761416449+0.832079466311379+0.0127000784696626))*0.930264903169035%</f>
        <v>2.7160421529075548E-5</v>
      </c>
      <c r="D1992" s="4">
        <f t="shared" si="1079"/>
        <v>2.7160421529075548E-5</v>
      </c>
      <c r="E1992" s="4">
        <f t="shared" si="1079"/>
        <v>2.7160421529075548E-5</v>
      </c>
      <c r="F1992" s="4">
        <f t="shared" si="1079"/>
        <v>2.7160421529075548E-5</v>
      </c>
      <c r="G1992" s="4">
        <f t="shared" si="1079"/>
        <v>2.7160421529075548E-5</v>
      </c>
      <c r="H1992" s="4">
        <f t="shared" si="1079"/>
        <v>2.7160421529075548E-5</v>
      </c>
      <c r="I1992" s="4">
        <f t="shared" si="1079"/>
        <v>2.7160421529075548E-5</v>
      </c>
      <c r="J1992" s="4">
        <f t="shared" si="1079"/>
        <v>2.7160421529075548E-5</v>
      </c>
      <c r="K1992" s="4">
        <f t="shared" si="1079"/>
        <v>2.7160421529075548E-5</v>
      </c>
      <c r="L1992" s="4">
        <f t="shared" si="1079"/>
        <v>2.7160421529075548E-5</v>
      </c>
      <c r="M1992" s="4">
        <f t="shared" si="1079"/>
        <v>2.7160421529075548E-5</v>
      </c>
      <c r="N1992" t="s">
        <v>242</v>
      </c>
      <c r="O1992" t="s">
        <v>380</v>
      </c>
      <c r="P1992" t="s">
        <v>378</v>
      </c>
      <c r="Q1992" s="4" t="s">
        <v>245</v>
      </c>
    </row>
    <row r="1993" spans="1:17" x14ac:dyDescent="0.25">
      <c r="A1993" t="s">
        <v>378</v>
      </c>
      <c r="B1993" t="s">
        <v>176</v>
      </c>
      <c r="C1993" s="4">
        <f t="shared" ref="C1993:M1993" si="1080">(0.832079466311379/(0.00247367761416449+0.832079466311379+0.0127000784696626)) * 0.930264903169035%</f>
        <v>9.1360446168481518E-3</v>
      </c>
      <c r="D1993" s="4">
        <f t="shared" si="1080"/>
        <v>9.1360446168481518E-3</v>
      </c>
      <c r="E1993" s="4">
        <f t="shared" si="1080"/>
        <v>9.1360446168481518E-3</v>
      </c>
      <c r="F1993" s="4">
        <f t="shared" si="1080"/>
        <v>9.1360446168481518E-3</v>
      </c>
      <c r="G1993" s="4">
        <f t="shared" si="1080"/>
        <v>9.1360446168481518E-3</v>
      </c>
      <c r="H1993" s="4">
        <f t="shared" si="1080"/>
        <v>9.1360446168481518E-3</v>
      </c>
      <c r="I1993" s="4">
        <f t="shared" si="1080"/>
        <v>9.1360446168481518E-3</v>
      </c>
      <c r="J1993" s="4">
        <f t="shared" si="1080"/>
        <v>9.1360446168481518E-3</v>
      </c>
      <c r="K1993" s="4">
        <f t="shared" si="1080"/>
        <v>9.1360446168481518E-3</v>
      </c>
      <c r="L1993" s="4">
        <f t="shared" si="1080"/>
        <v>9.1360446168481518E-3</v>
      </c>
      <c r="M1993" s="4">
        <f t="shared" si="1080"/>
        <v>9.1360446168481518E-3</v>
      </c>
      <c r="N1993" t="s">
        <v>242</v>
      </c>
      <c r="O1993" t="s">
        <v>315</v>
      </c>
      <c r="P1993" t="s">
        <v>378</v>
      </c>
      <c r="Q1993" s="4" t="s">
        <v>245</v>
      </c>
    </row>
    <row r="1994" spans="1:17" x14ac:dyDescent="0.25">
      <c r="A1994" t="s">
        <v>378</v>
      </c>
      <c r="B1994" t="s">
        <v>176</v>
      </c>
      <c r="C1994" s="4">
        <f t="shared" ref="C1994:M1994" si="1081">(0.0127000784696626/(0.00247367761416449+0.832079466311379+0.0127000784696626)) * 0.930264903169035%</f>
        <v>1.3944399331312208E-4</v>
      </c>
      <c r="D1994" s="4">
        <f t="shared" si="1081"/>
        <v>1.3944399331312208E-4</v>
      </c>
      <c r="E1994" s="4">
        <f t="shared" si="1081"/>
        <v>1.3944399331312208E-4</v>
      </c>
      <c r="F1994" s="4">
        <f t="shared" si="1081"/>
        <v>1.3944399331312208E-4</v>
      </c>
      <c r="G1994" s="4">
        <f t="shared" si="1081"/>
        <v>1.3944399331312208E-4</v>
      </c>
      <c r="H1994" s="4">
        <f t="shared" si="1081"/>
        <v>1.3944399331312208E-4</v>
      </c>
      <c r="I1994" s="4">
        <f t="shared" si="1081"/>
        <v>1.3944399331312208E-4</v>
      </c>
      <c r="J1994" s="4">
        <f t="shared" si="1081"/>
        <v>1.3944399331312208E-4</v>
      </c>
      <c r="K1994" s="4">
        <f t="shared" si="1081"/>
        <v>1.3944399331312208E-4</v>
      </c>
      <c r="L1994" s="4">
        <f t="shared" si="1081"/>
        <v>1.3944399331312208E-4</v>
      </c>
      <c r="M1994" s="4">
        <f t="shared" si="1081"/>
        <v>1.3944399331312208E-4</v>
      </c>
      <c r="N1994" t="s">
        <v>256</v>
      </c>
      <c r="O1994" t="s">
        <v>280</v>
      </c>
      <c r="P1994" t="s">
        <v>378</v>
      </c>
      <c r="Q1994" s="4" t="s">
        <v>245</v>
      </c>
    </row>
    <row r="1995" spans="1:17" x14ac:dyDescent="0.25">
      <c r="A1995" t="s">
        <v>378</v>
      </c>
      <c r="B1995" t="s">
        <v>106</v>
      </c>
      <c r="C1995" s="4">
        <f t="shared" ref="C1995:M1995" si="1082">(0.00247367761416449/(0.00247367761416449+0.832079466311379+0.0127000784696626))*0.105532215168578%</f>
        <v>3.081164772648479E-6</v>
      </c>
      <c r="D1995" s="4">
        <f t="shared" si="1082"/>
        <v>3.081164772648479E-6</v>
      </c>
      <c r="E1995" s="4">
        <f t="shared" si="1082"/>
        <v>3.081164772648479E-6</v>
      </c>
      <c r="F1995" s="4">
        <f t="shared" si="1082"/>
        <v>3.081164772648479E-6</v>
      </c>
      <c r="G1995" s="4">
        <f t="shared" si="1082"/>
        <v>3.081164772648479E-6</v>
      </c>
      <c r="H1995" s="4">
        <f t="shared" si="1082"/>
        <v>3.081164772648479E-6</v>
      </c>
      <c r="I1995" s="4">
        <f t="shared" si="1082"/>
        <v>3.081164772648479E-6</v>
      </c>
      <c r="J1995" s="4">
        <f t="shared" si="1082"/>
        <v>3.081164772648479E-6</v>
      </c>
      <c r="K1995" s="4">
        <f t="shared" si="1082"/>
        <v>3.081164772648479E-6</v>
      </c>
      <c r="L1995" s="4">
        <f t="shared" si="1082"/>
        <v>3.081164772648479E-6</v>
      </c>
      <c r="M1995" s="4">
        <f t="shared" si="1082"/>
        <v>3.081164772648479E-6</v>
      </c>
      <c r="N1995" t="s">
        <v>242</v>
      </c>
      <c r="O1995" t="s">
        <v>380</v>
      </c>
      <c r="P1995" t="s">
        <v>378</v>
      </c>
      <c r="Q1995" s="4" t="s">
        <v>245</v>
      </c>
    </row>
    <row r="1996" spans="1:17" x14ac:dyDescent="0.25">
      <c r="A1996" t="s">
        <v>378</v>
      </c>
      <c r="B1996" t="s">
        <v>106</v>
      </c>
      <c r="C1996" s="4">
        <f t="shared" ref="C1996:M1996" si="1083">(0.832079466311379/(0.00247367761416449+0.832079466311379+0.0127000784696626)) * 0.105532215168578%</f>
        <v>1.0364220159338382E-3</v>
      </c>
      <c r="D1996" s="4">
        <f t="shared" si="1083"/>
        <v>1.0364220159338382E-3</v>
      </c>
      <c r="E1996" s="4">
        <f t="shared" si="1083"/>
        <v>1.0364220159338382E-3</v>
      </c>
      <c r="F1996" s="4">
        <f t="shared" si="1083"/>
        <v>1.0364220159338382E-3</v>
      </c>
      <c r="G1996" s="4">
        <f t="shared" si="1083"/>
        <v>1.0364220159338382E-3</v>
      </c>
      <c r="H1996" s="4">
        <f t="shared" si="1083"/>
        <v>1.0364220159338382E-3</v>
      </c>
      <c r="I1996" s="4">
        <f t="shared" si="1083"/>
        <v>1.0364220159338382E-3</v>
      </c>
      <c r="J1996" s="4">
        <f t="shared" si="1083"/>
        <v>1.0364220159338382E-3</v>
      </c>
      <c r="K1996" s="4">
        <f t="shared" si="1083"/>
        <v>1.0364220159338382E-3</v>
      </c>
      <c r="L1996" s="4">
        <f t="shared" si="1083"/>
        <v>1.0364220159338382E-3</v>
      </c>
      <c r="M1996" s="4">
        <f t="shared" si="1083"/>
        <v>1.0364220159338382E-3</v>
      </c>
      <c r="N1996" t="s">
        <v>242</v>
      </c>
      <c r="O1996" t="s">
        <v>315</v>
      </c>
      <c r="P1996" t="s">
        <v>378</v>
      </c>
      <c r="Q1996" s="4" t="s">
        <v>245</v>
      </c>
    </row>
    <row r="1997" spans="1:17" x14ac:dyDescent="0.25">
      <c r="A1997" t="s">
        <v>378</v>
      </c>
      <c r="B1997" t="s">
        <v>106</v>
      </c>
      <c r="C1997" s="4">
        <f t="shared" ref="C1997:M1997" si="1084">(0.0127000784696626/(0.00247367761416449+0.832079466311379+0.0127000784696626)) * 0.105532215168578%</f>
        <v>1.5818970979293402E-5</v>
      </c>
      <c r="D1997" s="4">
        <f t="shared" si="1084"/>
        <v>1.5818970979293402E-5</v>
      </c>
      <c r="E1997" s="4">
        <f t="shared" si="1084"/>
        <v>1.5818970979293402E-5</v>
      </c>
      <c r="F1997" s="4">
        <f t="shared" si="1084"/>
        <v>1.5818970979293402E-5</v>
      </c>
      <c r="G1997" s="4">
        <f t="shared" si="1084"/>
        <v>1.5818970979293402E-5</v>
      </c>
      <c r="H1997" s="4">
        <f t="shared" si="1084"/>
        <v>1.5818970979293402E-5</v>
      </c>
      <c r="I1997" s="4">
        <f t="shared" si="1084"/>
        <v>1.5818970979293402E-5</v>
      </c>
      <c r="J1997" s="4">
        <f t="shared" si="1084"/>
        <v>1.5818970979293402E-5</v>
      </c>
      <c r="K1997" s="4">
        <f t="shared" si="1084"/>
        <v>1.5818970979293402E-5</v>
      </c>
      <c r="L1997" s="4">
        <f t="shared" si="1084"/>
        <v>1.5818970979293402E-5</v>
      </c>
      <c r="M1997" s="4">
        <f t="shared" si="1084"/>
        <v>1.5818970979293402E-5</v>
      </c>
      <c r="N1997" t="s">
        <v>256</v>
      </c>
      <c r="O1997" t="s">
        <v>280</v>
      </c>
      <c r="P1997" t="s">
        <v>378</v>
      </c>
      <c r="Q1997" s="4" t="s">
        <v>245</v>
      </c>
    </row>
    <row r="1998" spans="1:17" x14ac:dyDescent="0.25">
      <c r="A1998" t="s">
        <v>378</v>
      </c>
      <c r="B1998" t="s">
        <v>146</v>
      </c>
      <c r="C1998" s="4">
        <v>6.1617062649961828E-2</v>
      </c>
      <c r="D1998" s="4">
        <v>6.1617062649961828E-2</v>
      </c>
      <c r="E1998" s="4">
        <v>6.1617062649961828E-2</v>
      </c>
      <c r="F1998" s="4">
        <v>6.1617062649961828E-2</v>
      </c>
      <c r="G1998" s="4">
        <v>6.1617062649961828E-2</v>
      </c>
      <c r="H1998" s="4">
        <v>6.1617062649961828E-2</v>
      </c>
      <c r="I1998" s="4">
        <v>6.1617062649961828E-2</v>
      </c>
      <c r="J1998" s="4">
        <v>6.1617062649961828E-2</v>
      </c>
      <c r="K1998" s="4">
        <v>6.1617062649961828E-2</v>
      </c>
      <c r="L1998" s="4">
        <v>6.1617062649961828E-2</v>
      </c>
      <c r="M1998" s="4">
        <v>6.1617062649961828E-2</v>
      </c>
      <c r="N1998" t="s">
        <v>310</v>
      </c>
      <c r="O1998" t="s">
        <v>379</v>
      </c>
      <c r="P1998" t="s">
        <v>378</v>
      </c>
      <c r="Q1998" s="4" t="s">
        <v>245</v>
      </c>
    </row>
    <row r="1999" spans="1:17" x14ac:dyDescent="0.25">
      <c r="A1999" t="s">
        <v>378</v>
      </c>
      <c r="B1999" t="s">
        <v>151</v>
      </c>
      <c r="C1999" s="4">
        <f t="shared" ref="C1999:M1999" si="1085">(0.00247367761416449/(0.00247367761416449+0.832079466311379+0.0127000784696626))*1.25535430439348%</f>
        <v>3.6651874062447439E-5</v>
      </c>
      <c r="D1999" s="4">
        <f t="shared" si="1085"/>
        <v>3.6651874062447439E-5</v>
      </c>
      <c r="E1999" s="4">
        <f t="shared" si="1085"/>
        <v>3.6651874062447439E-5</v>
      </c>
      <c r="F1999" s="4">
        <f t="shared" si="1085"/>
        <v>3.6651874062447439E-5</v>
      </c>
      <c r="G1999" s="4">
        <f t="shared" si="1085"/>
        <v>3.6651874062447439E-5</v>
      </c>
      <c r="H1999" s="4">
        <f t="shared" si="1085"/>
        <v>3.6651874062447439E-5</v>
      </c>
      <c r="I1999" s="4">
        <f t="shared" si="1085"/>
        <v>3.6651874062447439E-5</v>
      </c>
      <c r="J1999" s="4">
        <f t="shared" si="1085"/>
        <v>3.6651874062447439E-5</v>
      </c>
      <c r="K1999" s="4">
        <f t="shared" si="1085"/>
        <v>3.6651874062447439E-5</v>
      </c>
      <c r="L1999" s="4">
        <f t="shared" si="1085"/>
        <v>3.6651874062447439E-5</v>
      </c>
      <c r="M1999" s="4">
        <f t="shared" si="1085"/>
        <v>3.6651874062447439E-5</v>
      </c>
      <c r="N1999" t="s">
        <v>242</v>
      </c>
      <c r="O1999" t="s">
        <v>380</v>
      </c>
      <c r="P1999" t="s">
        <v>378</v>
      </c>
      <c r="Q1999" s="4" t="s">
        <v>245</v>
      </c>
    </row>
    <row r="2000" spans="1:17" x14ac:dyDescent="0.25">
      <c r="A2000" t="s">
        <v>378</v>
      </c>
      <c r="B2000" t="s">
        <v>151</v>
      </c>
      <c r="C2000" s="4">
        <f t="shared" ref="C2000:M2000" si="1086">(0.832079466311379/(0.00247367761416449+0.832079466311379+0.0127000784696626)) * 1.25535430439348%</f>
        <v>1.2328717224331558E-2</v>
      </c>
      <c r="D2000" s="4">
        <f t="shared" si="1086"/>
        <v>1.2328717224331558E-2</v>
      </c>
      <c r="E2000" s="4">
        <f t="shared" si="1086"/>
        <v>1.2328717224331558E-2</v>
      </c>
      <c r="F2000" s="4">
        <f t="shared" si="1086"/>
        <v>1.2328717224331558E-2</v>
      </c>
      <c r="G2000" s="4">
        <f t="shared" si="1086"/>
        <v>1.2328717224331558E-2</v>
      </c>
      <c r="H2000" s="4">
        <f t="shared" si="1086"/>
        <v>1.2328717224331558E-2</v>
      </c>
      <c r="I2000" s="4">
        <f t="shared" si="1086"/>
        <v>1.2328717224331558E-2</v>
      </c>
      <c r="J2000" s="4">
        <f t="shared" si="1086"/>
        <v>1.2328717224331558E-2</v>
      </c>
      <c r="K2000" s="4">
        <f t="shared" si="1086"/>
        <v>1.2328717224331558E-2</v>
      </c>
      <c r="L2000" s="4">
        <f t="shared" si="1086"/>
        <v>1.2328717224331558E-2</v>
      </c>
      <c r="M2000" s="4">
        <f t="shared" si="1086"/>
        <v>1.2328717224331558E-2</v>
      </c>
      <c r="N2000" t="s">
        <v>242</v>
      </c>
      <c r="O2000" t="s">
        <v>315</v>
      </c>
      <c r="P2000" t="s">
        <v>378</v>
      </c>
      <c r="Q2000" s="4" t="s">
        <v>245</v>
      </c>
    </row>
    <row r="2001" spans="1:17" x14ac:dyDescent="0.25">
      <c r="A2001" t="s">
        <v>378</v>
      </c>
      <c r="B2001" t="s">
        <v>151</v>
      </c>
      <c r="C2001" s="4">
        <f t="shared" ref="C2001:M2001" si="1087">(0.0127000784696626/(0.00247367761416449+0.832079466311379+0.0127000784696626)) * 1.25535430439348%</f>
        <v>1.8817394554079557E-4</v>
      </c>
      <c r="D2001" s="4">
        <f t="shared" si="1087"/>
        <v>1.8817394554079557E-4</v>
      </c>
      <c r="E2001" s="4">
        <f t="shared" si="1087"/>
        <v>1.8817394554079557E-4</v>
      </c>
      <c r="F2001" s="4">
        <f t="shared" si="1087"/>
        <v>1.8817394554079557E-4</v>
      </c>
      <c r="G2001" s="4">
        <f t="shared" si="1087"/>
        <v>1.8817394554079557E-4</v>
      </c>
      <c r="H2001" s="4">
        <f t="shared" si="1087"/>
        <v>1.8817394554079557E-4</v>
      </c>
      <c r="I2001" s="4">
        <f t="shared" si="1087"/>
        <v>1.8817394554079557E-4</v>
      </c>
      <c r="J2001" s="4">
        <f t="shared" si="1087"/>
        <v>1.8817394554079557E-4</v>
      </c>
      <c r="K2001" s="4">
        <f t="shared" si="1087"/>
        <v>1.8817394554079557E-4</v>
      </c>
      <c r="L2001" s="4">
        <f t="shared" si="1087"/>
        <v>1.8817394554079557E-4</v>
      </c>
      <c r="M2001" s="4">
        <f t="shared" si="1087"/>
        <v>1.8817394554079557E-4</v>
      </c>
      <c r="N2001" t="s">
        <v>256</v>
      </c>
      <c r="O2001" t="s">
        <v>280</v>
      </c>
      <c r="P2001" t="s">
        <v>378</v>
      </c>
      <c r="Q2001" s="4" t="s">
        <v>245</v>
      </c>
    </row>
    <row r="2002" spans="1:17" x14ac:dyDescent="0.25">
      <c r="A2002" t="s">
        <v>378</v>
      </c>
      <c r="B2002" t="s">
        <v>178</v>
      </c>
      <c r="C2002" s="4">
        <f t="shared" ref="C2002:M2002" si="1088">(0.00247367761416449/(0.00247367761416449+0.832079466311379+0.0127000784696626))*0.479309627690352%</f>
        <v>1.3994133807119158E-5</v>
      </c>
      <c r="D2002" s="4">
        <f t="shared" si="1088"/>
        <v>1.3994133807119158E-5</v>
      </c>
      <c r="E2002" s="4">
        <f t="shared" si="1088"/>
        <v>1.3994133807119158E-5</v>
      </c>
      <c r="F2002" s="4">
        <f t="shared" si="1088"/>
        <v>1.3994133807119158E-5</v>
      </c>
      <c r="G2002" s="4">
        <f t="shared" si="1088"/>
        <v>1.3994133807119158E-5</v>
      </c>
      <c r="H2002" s="4">
        <f t="shared" si="1088"/>
        <v>1.3994133807119158E-5</v>
      </c>
      <c r="I2002" s="4">
        <f t="shared" si="1088"/>
        <v>1.3994133807119158E-5</v>
      </c>
      <c r="J2002" s="4">
        <f t="shared" si="1088"/>
        <v>1.3994133807119158E-5</v>
      </c>
      <c r="K2002" s="4">
        <f t="shared" si="1088"/>
        <v>1.3994133807119158E-5</v>
      </c>
      <c r="L2002" s="4">
        <f t="shared" si="1088"/>
        <v>1.3994133807119158E-5</v>
      </c>
      <c r="M2002" s="4">
        <f t="shared" si="1088"/>
        <v>1.3994133807119158E-5</v>
      </c>
      <c r="N2002" t="s">
        <v>242</v>
      </c>
      <c r="O2002" t="s">
        <v>380</v>
      </c>
      <c r="P2002" t="s">
        <v>378</v>
      </c>
      <c r="Q2002" s="4" t="s">
        <v>245</v>
      </c>
    </row>
    <row r="2003" spans="1:17" x14ac:dyDescent="0.25">
      <c r="A2003" t="s">
        <v>378</v>
      </c>
      <c r="B2003" t="s">
        <v>178</v>
      </c>
      <c r="C2003" s="4">
        <f t="shared" ref="C2003:M2003" si="1089">(0.832079466311379/(0.00247367761416449+0.832079466311379+0.0127000784696626)) * 0.479309627690352%</f>
        <v>4.7072550291282376E-3</v>
      </c>
      <c r="D2003" s="4">
        <f t="shared" si="1089"/>
        <v>4.7072550291282376E-3</v>
      </c>
      <c r="E2003" s="4">
        <f t="shared" si="1089"/>
        <v>4.7072550291282376E-3</v>
      </c>
      <c r="F2003" s="4">
        <f t="shared" si="1089"/>
        <v>4.7072550291282376E-3</v>
      </c>
      <c r="G2003" s="4">
        <f t="shared" si="1089"/>
        <v>4.7072550291282376E-3</v>
      </c>
      <c r="H2003" s="4">
        <f t="shared" si="1089"/>
        <v>4.7072550291282376E-3</v>
      </c>
      <c r="I2003" s="4">
        <f t="shared" si="1089"/>
        <v>4.7072550291282376E-3</v>
      </c>
      <c r="J2003" s="4">
        <f t="shared" si="1089"/>
        <v>4.7072550291282376E-3</v>
      </c>
      <c r="K2003" s="4">
        <f t="shared" si="1089"/>
        <v>4.7072550291282376E-3</v>
      </c>
      <c r="L2003" s="4">
        <f t="shared" si="1089"/>
        <v>4.7072550291282376E-3</v>
      </c>
      <c r="M2003" s="4">
        <f t="shared" si="1089"/>
        <v>4.7072550291282376E-3</v>
      </c>
      <c r="N2003" t="s">
        <v>242</v>
      </c>
      <c r="O2003" t="s">
        <v>315</v>
      </c>
      <c r="P2003" t="s">
        <v>378</v>
      </c>
      <c r="Q2003" s="4" t="s">
        <v>245</v>
      </c>
    </row>
    <row r="2004" spans="1:17" x14ac:dyDescent="0.25">
      <c r="A2004" t="s">
        <v>378</v>
      </c>
      <c r="B2004" t="s">
        <v>178</v>
      </c>
      <c r="C2004" s="4">
        <f t="shared" ref="C2004:M2004" si="1090">(0.0127000784696626/(0.00247367761416449+0.832079466311379+0.0127000784696626)) * 0.479309627690352%</f>
        <v>7.1847113968163755E-5</v>
      </c>
      <c r="D2004" s="4">
        <f t="shared" si="1090"/>
        <v>7.1847113968163755E-5</v>
      </c>
      <c r="E2004" s="4">
        <f t="shared" si="1090"/>
        <v>7.1847113968163755E-5</v>
      </c>
      <c r="F2004" s="4">
        <f t="shared" si="1090"/>
        <v>7.1847113968163755E-5</v>
      </c>
      <c r="G2004" s="4">
        <f t="shared" si="1090"/>
        <v>7.1847113968163755E-5</v>
      </c>
      <c r="H2004" s="4">
        <f t="shared" si="1090"/>
        <v>7.1847113968163755E-5</v>
      </c>
      <c r="I2004" s="4">
        <f t="shared" si="1090"/>
        <v>7.1847113968163755E-5</v>
      </c>
      <c r="J2004" s="4">
        <f t="shared" si="1090"/>
        <v>7.1847113968163755E-5</v>
      </c>
      <c r="K2004" s="4">
        <f t="shared" si="1090"/>
        <v>7.1847113968163755E-5</v>
      </c>
      <c r="L2004" s="4">
        <f t="shared" si="1090"/>
        <v>7.1847113968163755E-5</v>
      </c>
      <c r="M2004" s="4">
        <f t="shared" si="1090"/>
        <v>7.1847113968163755E-5</v>
      </c>
      <c r="N2004" t="s">
        <v>256</v>
      </c>
      <c r="O2004" t="s">
        <v>280</v>
      </c>
      <c r="P2004" t="s">
        <v>378</v>
      </c>
      <c r="Q2004" s="4" t="s">
        <v>245</v>
      </c>
    </row>
    <row r="2005" spans="1:17" x14ac:dyDescent="0.25">
      <c r="A2005" t="s">
        <v>378</v>
      </c>
      <c r="B2005" t="s">
        <v>120</v>
      </c>
      <c r="C2005" s="4">
        <f t="shared" ref="C2005:M2005" si="1091">(0.00247367761416449/(0.00247367761416449+0.832079466311379+0.0127000784696626))*0.0100531848445878%</f>
        <v>2.9351718758662432E-7</v>
      </c>
      <c r="D2005" s="4">
        <f t="shared" si="1091"/>
        <v>2.9351718758662432E-7</v>
      </c>
      <c r="E2005" s="4">
        <f t="shared" si="1091"/>
        <v>2.9351718758662432E-7</v>
      </c>
      <c r="F2005" s="4">
        <f t="shared" si="1091"/>
        <v>2.9351718758662432E-7</v>
      </c>
      <c r="G2005" s="4">
        <f t="shared" si="1091"/>
        <v>2.9351718758662432E-7</v>
      </c>
      <c r="H2005" s="4">
        <f t="shared" si="1091"/>
        <v>2.9351718758662432E-7</v>
      </c>
      <c r="I2005" s="4">
        <f t="shared" si="1091"/>
        <v>2.9351718758662432E-7</v>
      </c>
      <c r="J2005" s="4">
        <f t="shared" si="1091"/>
        <v>2.9351718758662432E-7</v>
      </c>
      <c r="K2005" s="4">
        <f t="shared" si="1091"/>
        <v>2.9351718758662432E-7</v>
      </c>
      <c r="L2005" s="4">
        <f t="shared" si="1091"/>
        <v>2.9351718758662432E-7</v>
      </c>
      <c r="M2005" s="4">
        <f t="shared" si="1091"/>
        <v>2.9351718758662432E-7</v>
      </c>
      <c r="N2005" t="s">
        <v>242</v>
      </c>
      <c r="O2005" t="s">
        <v>380</v>
      </c>
      <c r="P2005" t="s">
        <v>378</v>
      </c>
      <c r="Q2005" s="4" t="s">
        <v>245</v>
      </c>
    </row>
    <row r="2006" spans="1:17" x14ac:dyDescent="0.25">
      <c r="A2006" t="s">
        <v>378</v>
      </c>
      <c r="B2006" t="s">
        <v>120</v>
      </c>
      <c r="C2006" s="4">
        <f t="shared" ref="C2006:M2006" si="1092">(0.832079466311379/(0.00247367761416449+0.832079466311379+0.0127000784696626)) * 0.0100531848445878%</f>
        <v>9.8731388197805363E-5</v>
      </c>
      <c r="D2006" s="4">
        <f t="shared" si="1092"/>
        <v>9.8731388197805363E-5</v>
      </c>
      <c r="E2006" s="4">
        <f t="shared" si="1092"/>
        <v>9.8731388197805363E-5</v>
      </c>
      <c r="F2006" s="4">
        <f t="shared" si="1092"/>
        <v>9.8731388197805363E-5</v>
      </c>
      <c r="G2006" s="4">
        <f t="shared" si="1092"/>
        <v>9.8731388197805363E-5</v>
      </c>
      <c r="H2006" s="4">
        <f t="shared" si="1092"/>
        <v>9.8731388197805363E-5</v>
      </c>
      <c r="I2006" s="4">
        <f t="shared" si="1092"/>
        <v>9.8731388197805363E-5</v>
      </c>
      <c r="J2006" s="4">
        <f t="shared" si="1092"/>
        <v>9.8731388197805363E-5</v>
      </c>
      <c r="K2006" s="4">
        <f t="shared" si="1092"/>
        <v>9.8731388197805363E-5</v>
      </c>
      <c r="L2006" s="4">
        <f t="shared" si="1092"/>
        <v>9.8731388197805363E-5</v>
      </c>
      <c r="M2006" s="4">
        <f t="shared" si="1092"/>
        <v>9.8731388197805363E-5</v>
      </c>
      <c r="N2006" t="s">
        <v>242</v>
      </c>
      <c r="O2006" t="s">
        <v>315</v>
      </c>
      <c r="P2006" t="s">
        <v>378</v>
      </c>
      <c r="Q2006" s="4" t="s">
        <v>245</v>
      </c>
    </row>
    <row r="2007" spans="1:17" x14ac:dyDescent="0.25">
      <c r="A2007" t="s">
        <v>378</v>
      </c>
      <c r="B2007" t="s">
        <v>120</v>
      </c>
      <c r="C2007" s="4">
        <f t="shared" ref="C2007:M2007" si="1093">(0.0127000784696626/(0.00247367761416449+0.832079466311379+0.0127000784696626)) * 0.0100531848445878%</f>
        <v>1.5069430604860252E-6</v>
      </c>
      <c r="D2007" s="4">
        <f t="shared" si="1093"/>
        <v>1.5069430604860252E-6</v>
      </c>
      <c r="E2007" s="4">
        <f t="shared" si="1093"/>
        <v>1.5069430604860252E-6</v>
      </c>
      <c r="F2007" s="4">
        <f t="shared" si="1093"/>
        <v>1.5069430604860252E-6</v>
      </c>
      <c r="G2007" s="4">
        <f t="shared" si="1093"/>
        <v>1.5069430604860252E-6</v>
      </c>
      <c r="H2007" s="4">
        <f t="shared" si="1093"/>
        <v>1.5069430604860252E-6</v>
      </c>
      <c r="I2007" s="4">
        <f t="shared" si="1093"/>
        <v>1.5069430604860252E-6</v>
      </c>
      <c r="J2007" s="4">
        <f t="shared" si="1093"/>
        <v>1.5069430604860252E-6</v>
      </c>
      <c r="K2007" s="4">
        <f t="shared" si="1093"/>
        <v>1.5069430604860252E-6</v>
      </c>
      <c r="L2007" s="4">
        <f t="shared" si="1093"/>
        <v>1.5069430604860252E-6</v>
      </c>
      <c r="M2007" s="4">
        <f t="shared" si="1093"/>
        <v>1.5069430604860252E-6</v>
      </c>
      <c r="N2007" t="s">
        <v>256</v>
      </c>
      <c r="O2007" t="s">
        <v>280</v>
      </c>
      <c r="P2007" t="s">
        <v>378</v>
      </c>
      <c r="Q2007" s="4" t="s">
        <v>245</v>
      </c>
    </row>
    <row r="2008" spans="1:17" x14ac:dyDescent="0.25">
      <c r="A2008" t="s">
        <v>378</v>
      </c>
      <c r="B2008" t="s">
        <v>107</v>
      </c>
      <c r="C2008" s="4">
        <f t="shared" ref="C2008:M2008" si="1094">(0.00247367761416449/(0.00247367761416449+0.832079466311379+0.0127000784696626))*4.45574636111862%</f>
        <v>1.3009192218513279E-4</v>
      </c>
      <c r="D2008" s="4">
        <f t="shared" si="1094"/>
        <v>1.3009192218513279E-4</v>
      </c>
      <c r="E2008" s="4">
        <f t="shared" si="1094"/>
        <v>1.3009192218513279E-4</v>
      </c>
      <c r="F2008" s="4">
        <f t="shared" si="1094"/>
        <v>1.3009192218513279E-4</v>
      </c>
      <c r="G2008" s="4">
        <f t="shared" si="1094"/>
        <v>1.3009192218513279E-4</v>
      </c>
      <c r="H2008" s="4">
        <f t="shared" si="1094"/>
        <v>1.3009192218513279E-4</v>
      </c>
      <c r="I2008" s="4">
        <f t="shared" si="1094"/>
        <v>1.3009192218513279E-4</v>
      </c>
      <c r="J2008" s="4">
        <f t="shared" si="1094"/>
        <v>1.3009192218513279E-4</v>
      </c>
      <c r="K2008" s="4">
        <f t="shared" si="1094"/>
        <v>1.3009192218513279E-4</v>
      </c>
      <c r="L2008" s="4">
        <f t="shared" si="1094"/>
        <v>1.3009192218513279E-4</v>
      </c>
      <c r="M2008" s="4">
        <f t="shared" si="1094"/>
        <v>1.3009192218513279E-4</v>
      </c>
      <c r="N2008" t="s">
        <v>242</v>
      </c>
      <c r="O2008" t="s">
        <v>380</v>
      </c>
      <c r="P2008" t="s">
        <v>378</v>
      </c>
      <c r="Q2008" s="4" t="s">
        <v>245</v>
      </c>
    </row>
    <row r="2009" spans="1:17" x14ac:dyDescent="0.25">
      <c r="A2009" t="s">
        <v>378</v>
      </c>
      <c r="B2009" t="s">
        <v>107</v>
      </c>
      <c r="C2009" s="4">
        <f t="shared" ref="C2009:M2009" si="1095">(0.832079466311379/(0.00247367761416449+0.832079466311379+0.0127000784696626)) * 4.45574636111862%</f>
        <v>4.3759468316888255E-2</v>
      </c>
      <c r="D2009" s="4">
        <f t="shared" si="1095"/>
        <v>4.3759468316888255E-2</v>
      </c>
      <c r="E2009" s="4">
        <f t="shared" si="1095"/>
        <v>4.3759468316888255E-2</v>
      </c>
      <c r="F2009" s="4">
        <f t="shared" si="1095"/>
        <v>4.3759468316888255E-2</v>
      </c>
      <c r="G2009" s="4">
        <f t="shared" si="1095"/>
        <v>4.3759468316888255E-2</v>
      </c>
      <c r="H2009" s="4">
        <f t="shared" si="1095"/>
        <v>4.3759468316888255E-2</v>
      </c>
      <c r="I2009" s="4">
        <f t="shared" si="1095"/>
        <v>4.3759468316888255E-2</v>
      </c>
      <c r="J2009" s="4">
        <f t="shared" si="1095"/>
        <v>4.3759468316888255E-2</v>
      </c>
      <c r="K2009" s="4">
        <f t="shared" si="1095"/>
        <v>4.3759468316888255E-2</v>
      </c>
      <c r="L2009" s="4">
        <f t="shared" si="1095"/>
        <v>4.3759468316888255E-2</v>
      </c>
      <c r="M2009" s="4">
        <f t="shared" si="1095"/>
        <v>4.3759468316888255E-2</v>
      </c>
      <c r="N2009" t="s">
        <v>242</v>
      </c>
      <c r="O2009" t="s">
        <v>315</v>
      </c>
      <c r="P2009" t="s">
        <v>378</v>
      </c>
      <c r="Q2009" s="4" t="s">
        <v>245</v>
      </c>
    </row>
    <row r="2010" spans="1:17" x14ac:dyDescent="0.25">
      <c r="A2010" t="s">
        <v>378</v>
      </c>
      <c r="B2010" t="s">
        <v>107</v>
      </c>
      <c r="C2010" s="4">
        <f t="shared" ref="C2010:M2010" si="1096">(0.0127000784696626/(0.00247367761416449+0.832079466311379+0.0127000784696626)) * 4.45574636111862%</f>
        <v>6.6790337211280755E-4</v>
      </c>
      <c r="D2010" s="4">
        <f t="shared" si="1096"/>
        <v>6.6790337211280755E-4</v>
      </c>
      <c r="E2010" s="4">
        <f t="shared" si="1096"/>
        <v>6.6790337211280755E-4</v>
      </c>
      <c r="F2010" s="4">
        <f t="shared" si="1096"/>
        <v>6.6790337211280755E-4</v>
      </c>
      <c r="G2010" s="4">
        <f t="shared" si="1096"/>
        <v>6.6790337211280755E-4</v>
      </c>
      <c r="H2010" s="4">
        <f t="shared" si="1096"/>
        <v>6.6790337211280755E-4</v>
      </c>
      <c r="I2010" s="4">
        <f t="shared" si="1096"/>
        <v>6.6790337211280755E-4</v>
      </c>
      <c r="J2010" s="4">
        <f t="shared" si="1096"/>
        <v>6.6790337211280755E-4</v>
      </c>
      <c r="K2010" s="4">
        <f t="shared" si="1096"/>
        <v>6.6790337211280755E-4</v>
      </c>
      <c r="L2010" s="4">
        <f t="shared" si="1096"/>
        <v>6.6790337211280755E-4</v>
      </c>
      <c r="M2010" s="4">
        <f t="shared" si="1096"/>
        <v>6.6790337211280755E-4</v>
      </c>
      <c r="N2010" t="s">
        <v>256</v>
      </c>
      <c r="O2010" t="s">
        <v>280</v>
      </c>
      <c r="P2010" t="s">
        <v>378</v>
      </c>
      <c r="Q2010" s="4" t="s">
        <v>245</v>
      </c>
    </row>
    <row r="2011" spans="1:17" x14ac:dyDescent="0.25">
      <c r="A2011" t="s">
        <v>378</v>
      </c>
      <c r="B2011" t="s">
        <v>179</v>
      </c>
      <c r="C2011" s="4">
        <f t="shared" ref="C2011:M2011" si="1097">(0.00247367761416449/(0.00247367761416449+0.832079466311379+0.0127000784696626))*0.0986086304756092%</f>
        <v>2.8790207617192408E-6</v>
      </c>
      <c r="D2011" s="4">
        <f t="shared" si="1097"/>
        <v>2.8790207617192408E-6</v>
      </c>
      <c r="E2011" s="4">
        <f t="shared" si="1097"/>
        <v>2.8790207617192408E-6</v>
      </c>
      <c r="F2011" s="4">
        <f t="shared" si="1097"/>
        <v>2.8790207617192408E-6</v>
      </c>
      <c r="G2011" s="4">
        <f t="shared" si="1097"/>
        <v>2.8790207617192408E-6</v>
      </c>
      <c r="H2011" s="4">
        <f t="shared" si="1097"/>
        <v>2.8790207617192408E-6</v>
      </c>
      <c r="I2011" s="4">
        <f t="shared" si="1097"/>
        <v>2.8790207617192408E-6</v>
      </c>
      <c r="J2011" s="4">
        <f t="shared" si="1097"/>
        <v>2.8790207617192408E-6</v>
      </c>
      <c r="K2011" s="4">
        <f t="shared" si="1097"/>
        <v>2.8790207617192408E-6</v>
      </c>
      <c r="L2011" s="4">
        <f t="shared" si="1097"/>
        <v>2.8790207617192408E-6</v>
      </c>
      <c r="M2011" s="4">
        <f t="shared" si="1097"/>
        <v>2.8790207617192408E-6</v>
      </c>
      <c r="N2011" t="s">
        <v>242</v>
      </c>
      <c r="O2011" t="s">
        <v>380</v>
      </c>
      <c r="P2011" t="s">
        <v>378</v>
      </c>
      <c r="Q2011" s="4" t="s">
        <v>245</v>
      </c>
    </row>
    <row r="2012" spans="1:17" x14ac:dyDescent="0.25">
      <c r="A2012" t="s">
        <v>378</v>
      </c>
      <c r="B2012" t="s">
        <v>179</v>
      </c>
      <c r="C2012" s="4">
        <f t="shared" ref="C2012:M2012" si="1098">(0.832079466311379/(0.00247367761416449+0.832079466311379+0.0127000784696626)) * 0.0986086304756092%</f>
        <v>9.6842613814890962E-4</v>
      </c>
      <c r="D2012" s="4">
        <f t="shared" si="1098"/>
        <v>9.6842613814890962E-4</v>
      </c>
      <c r="E2012" s="4">
        <f t="shared" si="1098"/>
        <v>9.6842613814890962E-4</v>
      </c>
      <c r="F2012" s="4">
        <f t="shared" si="1098"/>
        <v>9.6842613814890962E-4</v>
      </c>
      <c r="G2012" s="4">
        <f t="shared" si="1098"/>
        <v>9.6842613814890962E-4</v>
      </c>
      <c r="H2012" s="4">
        <f t="shared" si="1098"/>
        <v>9.6842613814890962E-4</v>
      </c>
      <c r="I2012" s="4">
        <f t="shared" si="1098"/>
        <v>9.6842613814890962E-4</v>
      </c>
      <c r="J2012" s="4">
        <f t="shared" si="1098"/>
        <v>9.6842613814890962E-4</v>
      </c>
      <c r="K2012" s="4">
        <f t="shared" si="1098"/>
        <v>9.6842613814890962E-4</v>
      </c>
      <c r="L2012" s="4">
        <f t="shared" si="1098"/>
        <v>9.6842613814890962E-4</v>
      </c>
      <c r="M2012" s="4">
        <f t="shared" si="1098"/>
        <v>9.6842613814890962E-4</v>
      </c>
      <c r="N2012" t="s">
        <v>242</v>
      </c>
      <c r="O2012" t="s">
        <v>315</v>
      </c>
      <c r="P2012" t="s">
        <v>378</v>
      </c>
      <c r="Q2012" s="4" t="s">
        <v>245</v>
      </c>
    </row>
    <row r="2013" spans="1:17" x14ac:dyDescent="0.25">
      <c r="A2013" t="s">
        <v>378</v>
      </c>
      <c r="B2013" t="s">
        <v>179</v>
      </c>
      <c r="C2013" s="4">
        <f t="shared" ref="C2013:M2013" si="1099">(0.0127000784696626/(0.00247367761416449+0.832079466311379+0.0127000784696626)) * 0.0986086304756092%</f>
        <v>1.4781145845462948E-5</v>
      </c>
      <c r="D2013" s="4">
        <f t="shared" si="1099"/>
        <v>1.4781145845462948E-5</v>
      </c>
      <c r="E2013" s="4">
        <f t="shared" si="1099"/>
        <v>1.4781145845462948E-5</v>
      </c>
      <c r="F2013" s="4">
        <f t="shared" si="1099"/>
        <v>1.4781145845462948E-5</v>
      </c>
      <c r="G2013" s="4">
        <f t="shared" si="1099"/>
        <v>1.4781145845462948E-5</v>
      </c>
      <c r="H2013" s="4">
        <f t="shared" si="1099"/>
        <v>1.4781145845462948E-5</v>
      </c>
      <c r="I2013" s="4">
        <f t="shared" si="1099"/>
        <v>1.4781145845462948E-5</v>
      </c>
      <c r="J2013" s="4">
        <f t="shared" si="1099"/>
        <v>1.4781145845462948E-5</v>
      </c>
      <c r="K2013" s="4">
        <f t="shared" si="1099"/>
        <v>1.4781145845462948E-5</v>
      </c>
      <c r="L2013" s="4">
        <f t="shared" si="1099"/>
        <v>1.4781145845462948E-5</v>
      </c>
      <c r="M2013" s="4">
        <f t="shared" si="1099"/>
        <v>1.4781145845462948E-5</v>
      </c>
      <c r="N2013" t="s">
        <v>256</v>
      </c>
      <c r="O2013" t="s">
        <v>280</v>
      </c>
      <c r="P2013" t="s">
        <v>378</v>
      </c>
      <c r="Q2013" s="4" t="s">
        <v>245</v>
      </c>
    </row>
    <row r="2014" spans="1:17" x14ac:dyDescent="0.25">
      <c r="A2014" t="s">
        <v>378</v>
      </c>
      <c r="B2014" t="s">
        <v>135</v>
      </c>
      <c r="C2014" s="4">
        <f t="shared" ref="C2014:M2014" si="1100">(0.00247367761416449/(0.00247367761416449+0.832079466311379+0.0127000784696626))*0.00251329621114695%</f>
        <v>7.3379296896656081E-8</v>
      </c>
      <c r="D2014" s="4">
        <f t="shared" si="1100"/>
        <v>7.3379296896656081E-8</v>
      </c>
      <c r="E2014" s="4">
        <f t="shared" si="1100"/>
        <v>7.3379296896656081E-8</v>
      </c>
      <c r="F2014" s="4">
        <f t="shared" si="1100"/>
        <v>7.3379296896656081E-8</v>
      </c>
      <c r="G2014" s="4">
        <f t="shared" si="1100"/>
        <v>7.3379296896656081E-8</v>
      </c>
      <c r="H2014" s="4">
        <f t="shared" si="1100"/>
        <v>7.3379296896656081E-8</v>
      </c>
      <c r="I2014" s="4">
        <f t="shared" si="1100"/>
        <v>7.3379296896656081E-8</v>
      </c>
      <c r="J2014" s="4">
        <f t="shared" si="1100"/>
        <v>7.3379296896656081E-8</v>
      </c>
      <c r="K2014" s="4">
        <f t="shared" si="1100"/>
        <v>7.3379296896656081E-8</v>
      </c>
      <c r="L2014" s="4">
        <f t="shared" si="1100"/>
        <v>7.3379296896656081E-8</v>
      </c>
      <c r="M2014" s="4">
        <f t="shared" si="1100"/>
        <v>7.3379296896656081E-8</v>
      </c>
      <c r="N2014" t="s">
        <v>242</v>
      </c>
      <c r="O2014" t="s">
        <v>380</v>
      </c>
      <c r="P2014" t="s">
        <v>378</v>
      </c>
      <c r="Q2014" s="4" t="s">
        <v>245</v>
      </c>
    </row>
    <row r="2015" spans="1:17" x14ac:dyDescent="0.25">
      <c r="A2015" t="s">
        <v>378</v>
      </c>
      <c r="B2015" t="s">
        <v>135</v>
      </c>
      <c r="C2015" s="4">
        <f t="shared" ref="C2015:M2015" si="1101">(0.832079466311379/(0.00247367761416449+0.832079466311379+0.0127000784696626)) * 0.00251329621114695%</f>
        <v>2.4682847049451341E-5</v>
      </c>
      <c r="D2015" s="4">
        <f t="shared" si="1101"/>
        <v>2.4682847049451341E-5</v>
      </c>
      <c r="E2015" s="4">
        <f t="shared" si="1101"/>
        <v>2.4682847049451341E-5</v>
      </c>
      <c r="F2015" s="4">
        <f t="shared" si="1101"/>
        <v>2.4682847049451341E-5</v>
      </c>
      <c r="G2015" s="4">
        <f t="shared" si="1101"/>
        <v>2.4682847049451341E-5</v>
      </c>
      <c r="H2015" s="4">
        <f t="shared" si="1101"/>
        <v>2.4682847049451341E-5</v>
      </c>
      <c r="I2015" s="4">
        <f t="shared" si="1101"/>
        <v>2.4682847049451341E-5</v>
      </c>
      <c r="J2015" s="4">
        <f t="shared" si="1101"/>
        <v>2.4682847049451341E-5</v>
      </c>
      <c r="K2015" s="4">
        <f t="shared" si="1101"/>
        <v>2.4682847049451341E-5</v>
      </c>
      <c r="L2015" s="4">
        <f t="shared" si="1101"/>
        <v>2.4682847049451341E-5</v>
      </c>
      <c r="M2015" s="4">
        <f t="shared" si="1101"/>
        <v>2.4682847049451341E-5</v>
      </c>
      <c r="N2015" t="s">
        <v>242</v>
      </c>
      <c r="O2015" t="s">
        <v>315</v>
      </c>
      <c r="P2015" t="s">
        <v>378</v>
      </c>
      <c r="Q2015" s="4" t="s">
        <v>245</v>
      </c>
    </row>
    <row r="2016" spans="1:17" x14ac:dyDescent="0.25">
      <c r="A2016" t="s">
        <v>378</v>
      </c>
      <c r="B2016" t="s">
        <v>135</v>
      </c>
      <c r="C2016" s="4">
        <f t="shared" ref="C2016:M2016" si="1102">(0.0127000784696626/(0.00247367761416449+0.832079466311379+0.0127000784696626)) * 0.00251329621114695%</f>
        <v>3.7673576512150631E-7</v>
      </c>
      <c r="D2016" s="4">
        <f t="shared" si="1102"/>
        <v>3.7673576512150631E-7</v>
      </c>
      <c r="E2016" s="4">
        <f t="shared" si="1102"/>
        <v>3.7673576512150631E-7</v>
      </c>
      <c r="F2016" s="4">
        <f t="shared" si="1102"/>
        <v>3.7673576512150631E-7</v>
      </c>
      <c r="G2016" s="4">
        <f t="shared" si="1102"/>
        <v>3.7673576512150631E-7</v>
      </c>
      <c r="H2016" s="4">
        <f t="shared" si="1102"/>
        <v>3.7673576512150631E-7</v>
      </c>
      <c r="I2016" s="4">
        <f t="shared" si="1102"/>
        <v>3.7673576512150631E-7</v>
      </c>
      <c r="J2016" s="4">
        <f t="shared" si="1102"/>
        <v>3.7673576512150631E-7</v>
      </c>
      <c r="K2016" s="4">
        <f t="shared" si="1102"/>
        <v>3.7673576512150631E-7</v>
      </c>
      <c r="L2016" s="4">
        <f t="shared" si="1102"/>
        <v>3.7673576512150631E-7</v>
      </c>
      <c r="M2016" s="4">
        <f t="shared" si="1102"/>
        <v>3.7673576512150631E-7</v>
      </c>
      <c r="N2016" t="s">
        <v>256</v>
      </c>
      <c r="O2016" t="s">
        <v>280</v>
      </c>
      <c r="P2016" t="s">
        <v>378</v>
      </c>
      <c r="Q2016" s="4" t="s">
        <v>245</v>
      </c>
    </row>
    <row r="2017" spans="1:17" x14ac:dyDescent="0.25">
      <c r="A2017" t="s">
        <v>378</v>
      </c>
      <c r="B2017" t="s">
        <v>137</v>
      </c>
      <c r="C2017" s="4">
        <f t="shared" ref="C2017:M2017" si="1103">(0.00247367761416449/(0.00247367761416449+0.832079466311379+0.0127000784696626))*0.810706309667291%</f>
        <v>2.3669736471659478E-5</v>
      </c>
      <c r="D2017" s="4">
        <f t="shared" si="1103"/>
        <v>2.3669736471659478E-5</v>
      </c>
      <c r="E2017" s="4">
        <f t="shared" si="1103"/>
        <v>2.3669736471659478E-5</v>
      </c>
      <c r="F2017" s="4">
        <f t="shared" si="1103"/>
        <v>2.3669736471659478E-5</v>
      </c>
      <c r="G2017" s="4">
        <f t="shared" si="1103"/>
        <v>2.3669736471659478E-5</v>
      </c>
      <c r="H2017" s="4">
        <f t="shared" si="1103"/>
        <v>2.3669736471659478E-5</v>
      </c>
      <c r="I2017" s="4">
        <f t="shared" si="1103"/>
        <v>2.3669736471659478E-5</v>
      </c>
      <c r="J2017" s="4">
        <f t="shared" si="1103"/>
        <v>2.3669736471659478E-5</v>
      </c>
      <c r="K2017" s="4">
        <f t="shared" si="1103"/>
        <v>2.3669736471659478E-5</v>
      </c>
      <c r="L2017" s="4">
        <f t="shared" si="1103"/>
        <v>2.3669736471659478E-5</v>
      </c>
      <c r="M2017" s="4">
        <f t="shared" si="1103"/>
        <v>2.3669736471659478E-5</v>
      </c>
      <c r="N2017" t="s">
        <v>242</v>
      </c>
      <c r="O2017" t="s">
        <v>380</v>
      </c>
      <c r="P2017" t="s">
        <v>378</v>
      </c>
      <c r="Q2017" s="4" t="s">
        <v>245</v>
      </c>
    </row>
    <row r="2018" spans="1:17" x14ac:dyDescent="0.25">
      <c r="A2018" t="s">
        <v>378</v>
      </c>
      <c r="B2018" t="s">
        <v>137</v>
      </c>
      <c r="C2018" s="4">
        <f t="shared" ref="C2018:M2018" si="1104">(0.832079466311379/(0.00247367761416449+0.832079466311379+0.0127000784696626)) * 0.810706309667291%</f>
        <v>7.9618708510331183E-3</v>
      </c>
      <c r="D2018" s="4">
        <f t="shared" si="1104"/>
        <v>7.9618708510331183E-3</v>
      </c>
      <c r="E2018" s="4">
        <f t="shared" si="1104"/>
        <v>7.9618708510331183E-3</v>
      </c>
      <c r="F2018" s="4">
        <f t="shared" si="1104"/>
        <v>7.9618708510331183E-3</v>
      </c>
      <c r="G2018" s="4">
        <f t="shared" si="1104"/>
        <v>7.9618708510331183E-3</v>
      </c>
      <c r="H2018" s="4">
        <f t="shared" si="1104"/>
        <v>7.9618708510331183E-3</v>
      </c>
      <c r="I2018" s="4">
        <f t="shared" si="1104"/>
        <v>7.9618708510331183E-3</v>
      </c>
      <c r="J2018" s="4">
        <f t="shared" si="1104"/>
        <v>7.9618708510331183E-3</v>
      </c>
      <c r="K2018" s="4">
        <f t="shared" si="1104"/>
        <v>7.9618708510331183E-3</v>
      </c>
      <c r="L2018" s="4">
        <f t="shared" si="1104"/>
        <v>7.9618708510331183E-3</v>
      </c>
      <c r="M2018" s="4">
        <f t="shared" si="1104"/>
        <v>7.9618708510331183E-3</v>
      </c>
      <c r="N2018" t="s">
        <v>242</v>
      </c>
      <c r="O2018" t="s">
        <v>315</v>
      </c>
      <c r="P2018" t="s">
        <v>378</v>
      </c>
      <c r="Q2018" s="4" t="s">
        <v>245</v>
      </c>
    </row>
    <row r="2019" spans="1:17" x14ac:dyDescent="0.25">
      <c r="A2019" t="s">
        <v>378</v>
      </c>
      <c r="B2019" t="s">
        <v>137</v>
      </c>
      <c r="C2019" s="4">
        <f t="shared" ref="C2019:M2019" si="1105">(0.0127000784696626/(0.00247367761416449+0.832079466311379+0.0127000784696626)) * 0.810706309667291%</f>
        <v>1.2152250916813321E-4</v>
      </c>
      <c r="D2019" s="4">
        <f t="shared" si="1105"/>
        <v>1.2152250916813321E-4</v>
      </c>
      <c r="E2019" s="4">
        <f t="shared" si="1105"/>
        <v>1.2152250916813321E-4</v>
      </c>
      <c r="F2019" s="4">
        <f t="shared" si="1105"/>
        <v>1.2152250916813321E-4</v>
      </c>
      <c r="G2019" s="4">
        <f t="shared" si="1105"/>
        <v>1.2152250916813321E-4</v>
      </c>
      <c r="H2019" s="4">
        <f t="shared" si="1105"/>
        <v>1.2152250916813321E-4</v>
      </c>
      <c r="I2019" s="4">
        <f t="shared" si="1105"/>
        <v>1.2152250916813321E-4</v>
      </c>
      <c r="J2019" s="4">
        <f t="shared" si="1105"/>
        <v>1.2152250916813321E-4</v>
      </c>
      <c r="K2019" s="4">
        <f t="shared" si="1105"/>
        <v>1.2152250916813321E-4</v>
      </c>
      <c r="L2019" s="4">
        <f t="shared" si="1105"/>
        <v>1.2152250916813321E-4</v>
      </c>
      <c r="M2019" s="4">
        <f t="shared" si="1105"/>
        <v>1.2152250916813321E-4</v>
      </c>
      <c r="N2019" t="s">
        <v>256</v>
      </c>
      <c r="O2019" t="s">
        <v>280</v>
      </c>
      <c r="P2019" t="s">
        <v>378</v>
      </c>
      <c r="Q2019" s="4" t="s">
        <v>245</v>
      </c>
    </row>
    <row r="2020" spans="1:17" x14ac:dyDescent="0.25">
      <c r="A2020" t="s">
        <v>378</v>
      </c>
      <c r="B2020" t="s">
        <v>121</v>
      </c>
      <c r="C2020" s="4">
        <f t="shared" ref="C2020:M2020" si="1106">(0.00247367761416449/(0.00247367761416449+0.832079466311379+0.0127000784696626))*0.205198615527835%</f>
        <v>5.99106864714857E-6</v>
      </c>
      <c r="D2020" s="4">
        <f t="shared" si="1106"/>
        <v>5.99106864714857E-6</v>
      </c>
      <c r="E2020" s="4">
        <f t="shared" si="1106"/>
        <v>5.99106864714857E-6</v>
      </c>
      <c r="F2020" s="4">
        <f t="shared" si="1106"/>
        <v>5.99106864714857E-6</v>
      </c>
      <c r="G2020" s="4">
        <f t="shared" si="1106"/>
        <v>5.99106864714857E-6</v>
      </c>
      <c r="H2020" s="4">
        <f t="shared" si="1106"/>
        <v>5.99106864714857E-6</v>
      </c>
      <c r="I2020" s="4">
        <f t="shared" si="1106"/>
        <v>5.99106864714857E-6</v>
      </c>
      <c r="J2020" s="4">
        <f t="shared" si="1106"/>
        <v>5.99106864714857E-6</v>
      </c>
      <c r="K2020" s="4">
        <f t="shared" si="1106"/>
        <v>5.99106864714857E-6</v>
      </c>
      <c r="L2020" s="4">
        <f t="shared" si="1106"/>
        <v>5.99106864714857E-6</v>
      </c>
      <c r="M2020" s="4">
        <f t="shared" si="1106"/>
        <v>5.99106864714857E-6</v>
      </c>
      <c r="N2020" t="s">
        <v>242</v>
      </c>
      <c r="O2020" t="s">
        <v>380</v>
      </c>
      <c r="P2020" t="s">
        <v>378</v>
      </c>
      <c r="Q2020" s="4" t="s">
        <v>245</v>
      </c>
    </row>
    <row r="2021" spans="1:17" x14ac:dyDescent="0.25">
      <c r="A2021" t="s">
        <v>378</v>
      </c>
      <c r="B2021" t="s">
        <v>121</v>
      </c>
      <c r="C2021" s="4">
        <f t="shared" ref="C2021:M2021" si="1107">(0.832079466311379/(0.00247367761416449+0.832079466311379+0.0127000784696626)) * 0.205198615527835%</f>
        <v>2.0152364131887767E-3</v>
      </c>
      <c r="D2021" s="4">
        <f t="shared" si="1107"/>
        <v>2.0152364131887767E-3</v>
      </c>
      <c r="E2021" s="4">
        <f t="shared" si="1107"/>
        <v>2.0152364131887767E-3</v>
      </c>
      <c r="F2021" s="4">
        <f t="shared" si="1107"/>
        <v>2.0152364131887767E-3</v>
      </c>
      <c r="G2021" s="4">
        <f t="shared" si="1107"/>
        <v>2.0152364131887767E-3</v>
      </c>
      <c r="H2021" s="4">
        <f t="shared" si="1107"/>
        <v>2.0152364131887767E-3</v>
      </c>
      <c r="I2021" s="4">
        <f t="shared" si="1107"/>
        <v>2.0152364131887767E-3</v>
      </c>
      <c r="J2021" s="4">
        <f t="shared" si="1107"/>
        <v>2.0152364131887767E-3</v>
      </c>
      <c r="K2021" s="4">
        <f t="shared" si="1107"/>
        <v>2.0152364131887767E-3</v>
      </c>
      <c r="L2021" s="4">
        <f t="shared" si="1107"/>
        <v>2.0152364131887767E-3</v>
      </c>
      <c r="M2021" s="4">
        <f t="shared" si="1107"/>
        <v>2.0152364131887767E-3</v>
      </c>
      <c r="N2021" t="s">
        <v>242</v>
      </c>
      <c r="O2021" t="s">
        <v>315</v>
      </c>
      <c r="P2021" t="s">
        <v>378</v>
      </c>
      <c r="Q2021" s="4" t="s">
        <v>245</v>
      </c>
    </row>
    <row r="2022" spans="1:17" x14ac:dyDescent="0.25">
      <c r="A2022" t="s">
        <v>378</v>
      </c>
      <c r="B2022" t="s">
        <v>121</v>
      </c>
      <c r="C2022" s="4">
        <f t="shared" ref="C2022:M2022" si="1108">(0.0127000784696626/(0.00247367761416449+0.832079466311379+0.0127000784696626)) * 0.205198615527835%</f>
        <v>3.0758673442424865E-5</v>
      </c>
      <c r="D2022" s="4">
        <f t="shared" si="1108"/>
        <v>3.0758673442424865E-5</v>
      </c>
      <c r="E2022" s="4">
        <f t="shared" si="1108"/>
        <v>3.0758673442424865E-5</v>
      </c>
      <c r="F2022" s="4">
        <f t="shared" si="1108"/>
        <v>3.0758673442424865E-5</v>
      </c>
      <c r="G2022" s="4">
        <f t="shared" si="1108"/>
        <v>3.0758673442424865E-5</v>
      </c>
      <c r="H2022" s="4">
        <f t="shared" si="1108"/>
        <v>3.0758673442424865E-5</v>
      </c>
      <c r="I2022" s="4">
        <f t="shared" si="1108"/>
        <v>3.0758673442424865E-5</v>
      </c>
      <c r="J2022" s="4">
        <f t="shared" si="1108"/>
        <v>3.0758673442424865E-5</v>
      </c>
      <c r="K2022" s="4">
        <f t="shared" si="1108"/>
        <v>3.0758673442424865E-5</v>
      </c>
      <c r="L2022" s="4">
        <f t="shared" si="1108"/>
        <v>3.0758673442424865E-5</v>
      </c>
      <c r="M2022" s="4">
        <f t="shared" si="1108"/>
        <v>3.0758673442424865E-5</v>
      </c>
      <c r="N2022" t="s">
        <v>256</v>
      </c>
      <c r="O2022" t="s">
        <v>280</v>
      </c>
      <c r="P2022" t="s">
        <v>378</v>
      </c>
      <c r="Q2022" s="4" t="s">
        <v>245</v>
      </c>
    </row>
    <row r="2023" spans="1:17" x14ac:dyDescent="0.25">
      <c r="A2023" t="s">
        <v>378</v>
      </c>
      <c r="B2023" t="s">
        <v>138</v>
      </c>
      <c r="C2023" s="4">
        <f t="shared" ref="C2023:M2023" si="1109">(0.00247367761416449/(0.00247367761416449+0.832079466311379+0.0127000784696626))*1.46559699614334%</f>
        <v>4.2790211768063428E-5</v>
      </c>
      <c r="D2023" s="4">
        <f t="shared" si="1109"/>
        <v>4.2790211768063428E-5</v>
      </c>
      <c r="E2023" s="4">
        <f t="shared" si="1109"/>
        <v>4.2790211768063428E-5</v>
      </c>
      <c r="F2023" s="4">
        <f t="shared" si="1109"/>
        <v>4.2790211768063428E-5</v>
      </c>
      <c r="G2023" s="4">
        <f t="shared" si="1109"/>
        <v>4.2790211768063428E-5</v>
      </c>
      <c r="H2023" s="4">
        <f t="shared" si="1109"/>
        <v>4.2790211768063428E-5</v>
      </c>
      <c r="I2023" s="4">
        <f t="shared" si="1109"/>
        <v>4.2790211768063428E-5</v>
      </c>
      <c r="J2023" s="4">
        <f t="shared" si="1109"/>
        <v>4.2790211768063428E-5</v>
      </c>
      <c r="K2023" s="4">
        <f t="shared" si="1109"/>
        <v>4.2790211768063428E-5</v>
      </c>
      <c r="L2023" s="4">
        <f t="shared" si="1109"/>
        <v>4.2790211768063428E-5</v>
      </c>
      <c r="M2023" s="4">
        <f t="shared" si="1109"/>
        <v>4.2790211768063428E-5</v>
      </c>
      <c r="N2023" t="s">
        <v>242</v>
      </c>
      <c r="O2023" t="s">
        <v>380</v>
      </c>
      <c r="P2023" t="s">
        <v>378</v>
      </c>
      <c r="Q2023" s="4" t="s">
        <v>245</v>
      </c>
    </row>
    <row r="2024" spans="1:17" x14ac:dyDescent="0.25">
      <c r="A2024" t="s">
        <v>378</v>
      </c>
      <c r="B2024" t="s">
        <v>138</v>
      </c>
      <c r="C2024" s="4">
        <f t="shared" ref="C2024:M2024" si="1110">(0.832079466311379/(0.00247367761416449+0.832079466311379+0.0127000784696626)) * 1.46559699614334%</f>
        <v>1.4393491038381332E-2</v>
      </c>
      <c r="D2024" s="4">
        <f t="shared" si="1110"/>
        <v>1.4393491038381332E-2</v>
      </c>
      <c r="E2024" s="4">
        <f t="shared" si="1110"/>
        <v>1.4393491038381332E-2</v>
      </c>
      <c r="F2024" s="4">
        <f t="shared" si="1110"/>
        <v>1.4393491038381332E-2</v>
      </c>
      <c r="G2024" s="4">
        <f t="shared" si="1110"/>
        <v>1.4393491038381332E-2</v>
      </c>
      <c r="H2024" s="4">
        <f t="shared" si="1110"/>
        <v>1.4393491038381332E-2</v>
      </c>
      <c r="I2024" s="4">
        <f t="shared" si="1110"/>
        <v>1.4393491038381332E-2</v>
      </c>
      <c r="J2024" s="4">
        <f t="shared" si="1110"/>
        <v>1.4393491038381332E-2</v>
      </c>
      <c r="K2024" s="4">
        <f t="shared" si="1110"/>
        <v>1.4393491038381332E-2</v>
      </c>
      <c r="L2024" s="4">
        <f t="shared" si="1110"/>
        <v>1.4393491038381332E-2</v>
      </c>
      <c r="M2024" s="4">
        <f t="shared" si="1110"/>
        <v>1.4393491038381332E-2</v>
      </c>
      <c r="N2024" t="s">
        <v>242</v>
      </c>
      <c r="O2024" t="s">
        <v>315</v>
      </c>
      <c r="P2024" t="s">
        <v>378</v>
      </c>
      <c r="Q2024" s="4" t="s">
        <v>245</v>
      </c>
    </row>
    <row r="2025" spans="1:17" x14ac:dyDescent="0.25">
      <c r="A2025" t="s">
        <v>378</v>
      </c>
      <c r="B2025" t="s">
        <v>138</v>
      </c>
      <c r="C2025" s="4">
        <f t="shared" ref="C2025:M2025" si="1111">(0.0127000784696626/(0.00247367761416449+0.832079466311379+0.0127000784696626)) * 1.46559699614334%</f>
        <v>2.1968871128400362E-4</v>
      </c>
      <c r="D2025" s="4">
        <f t="shared" si="1111"/>
        <v>2.1968871128400362E-4</v>
      </c>
      <c r="E2025" s="4">
        <f t="shared" si="1111"/>
        <v>2.1968871128400362E-4</v>
      </c>
      <c r="F2025" s="4">
        <f t="shared" si="1111"/>
        <v>2.1968871128400362E-4</v>
      </c>
      <c r="G2025" s="4">
        <f t="shared" si="1111"/>
        <v>2.1968871128400362E-4</v>
      </c>
      <c r="H2025" s="4">
        <f t="shared" si="1111"/>
        <v>2.1968871128400362E-4</v>
      </c>
      <c r="I2025" s="4">
        <f t="shared" si="1111"/>
        <v>2.1968871128400362E-4</v>
      </c>
      <c r="J2025" s="4">
        <f t="shared" si="1111"/>
        <v>2.1968871128400362E-4</v>
      </c>
      <c r="K2025" s="4">
        <f t="shared" si="1111"/>
        <v>2.1968871128400362E-4</v>
      </c>
      <c r="L2025" s="4">
        <f t="shared" si="1111"/>
        <v>2.1968871128400362E-4</v>
      </c>
      <c r="M2025" s="4">
        <f t="shared" si="1111"/>
        <v>2.1968871128400362E-4</v>
      </c>
      <c r="N2025" t="s">
        <v>256</v>
      </c>
      <c r="O2025" t="s">
        <v>280</v>
      </c>
      <c r="P2025" t="s">
        <v>378</v>
      </c>
      <c r="Q2025" s="4" t="s">
        <v>245</v>
      </c>
    </row>
    <row r="2026" spans="1:17" x14ac:dyDescent="0.25">
      <c r="A2026" t="s">
        <v>378</v>
      </c>
      <c r="B2026" t="s">
        <v>139</v>
      </c>
      <c r="C2026" s="4">
        <f t="shared" ref="C2026:M2026" si="1112">(0.00247367761416449/(0.00247367761416449+0.832079466311379+0.0127000784696626))*1.04157988509822%</f>
        <v>3.0410422492670676E-5</v>
      </c>
      <c r="D2026" s="4">
        <f t="shared" si="1112"/>
        <v>3.0410422492670676E-5</v>
      </c>
      <c r="E2026" s="4">
        <f t="shared" si="1112"/>
        <v>3.0410422492670676E-5</v>
      </c>
      <c r="F2026" s="4">
        <f t="shared" si="1112"/>
        <v>3.0410422492670676E-5</v>
      </c>
      <c r="G2026" s="4">
        <f t="shared" si="1112"/>
        <v>3.0410422492670676E-5</v>
      </c>
      <c r="H2026" s="4">
        <f t="shared" si="1112"/>
        <v>3.0410422492670676E-5</v>
      </c>
      <c r="I2026" s="4">
        <f t="shared" si="1112"/>
        <v>3.0410422492670676E-5</v>
      </c>
      <c r="J2026" s="4">
        <f t="shared" si="1112"/>
        <v>3.0410422492670676E-5</v>
      </c>
      <c r="K2026" s="4">
        <f t="shared" si="1112"/>
        <v>3.0410422492670676E-5</v>
      </c>
      <c r="L2026" s="4">
        <f t="shared" si="1112"/>
        <v>3.0410422492670676E-5</v>
      </c>
      <c r="M2026" s="4">
        <f t="shared" si="1112"/>
        <v>3.0410422492670676E-5</v>
      </c>
      <c r="N2026" t="s">
        <v>242</v>
      </c>
      <c r="O2026" t="s">
        <v>380</v>
      </c>
      <c r="P2026" t="s">
        <v>378</v>
      </c>
      <c r="Q2026" s="4" t="s">
        <v>245</v>
      </c>
    </row>
    <row r="2027" spans="1:17" x14ac:dyDescent="0.25">
      <c r="A2027" t="s">
        <v>378</v>
      </c>
      <c r="B2027" t="s">
        <v>139</v>
      </c>
      <c r="C2027" s="4">
        <f t="shared" ref="C2027:M2027" si="1113">(0.832079466311379/(0.00247367761416449+0.832079466311379+0.0127000784696626)) * 1.04157988509822%</f>
        <v>1.0229258644341016E-2</v>
      </c>
      <c r="D2027" s="4">
        <f t="shared" si="1113"/>
        <v>1.0229258644341016E-2</v>
      </c>
      <c r="E2027" s="4">
        <f t="shared" si="1113"/>
        <v>1.0229258644341016E-2</v>
      </c>
      <c r="F2027" s="4">
        <f t="shared" si="1113"/>
        <v>1.0229258644341016E-2</v>
      </c>
      <c r="G2027" s="4">
        <f t="shared" si="1113"/>
        <v>1.0229258644341016E-2</v>
      </c>
      <c r="H2027" s="4">
        <f t="shared" si="1113"/>
        <v>1.0229258644341016E-2</v>
      </c>
      <c r="I2027" s="4">
        <f t="shared" si="1113"/>
        <v>1.0229258644341016E-2</v>
      </c>
      <c r="J2027" s="4">
        <f t="shared" si="1113"/>
        <v>1.0229258644341016E-2</v>
      </c>
      <c r="K2027" s="4">
        <f t="shared" si="1113"/>
        <v>1.0229258644341016E-2</v>
      </c>
      <c r="L2027" s="4">
        <f t="shared" si="1113"/>
        <v>1.0229258644341016E-2</v>
      </c>
      <c r="M2027" s="4">
        <f t="shared" si="1113"/>
        <v>1.0229258644341016E-2</v>
      </c>
      <c r="N2027" t="s">
        <v>242</v>
      </c>
      <c r="O2027" t="s">
        <v>315</v>
      </c>
      <c r="P2027" t="s">
        <v>378</v>
      </c>
      <c r="Q2027" s="4" t="s">
        <v>245</v>
      </c>
    </row>
    <row r="2028" spans="1:17" x14ac:dyDescent="0.25">
      <c r="A2028" t="s">
        <v>378</v>
      </c>
      <c r="B2028" t="s">
        <v>139</v>
      </c>
      <c r="C2028" s="4">
        <f t="shared" ref="C2028:M2028" si="1114">(0.0127000784696626/(0.00247367761416449+0.832079466311379+0.0127000784696626)) * 1.04157988509822%</f>
        <v>1.5612978414851285E-4</v>
      </c>
      <c r="D2028" s="4">
        <f t="shared" si="1114"/>
        <v>1.5612978414851285E-4</v>
      </c>
      <c r="E2028" s="4">
        <f t="shared" si="1114"/>
        <v>1.5612978414851285E-4</v>
      </c>
      <c r="F2028" s="4">
        <f t="shared" si="1114"/>
        <v>1.5612978414851285E-4</v>
      </c>
      <c r="G2028" s="4">
        <f t="shared" si="1114"/>
        <v>1.5612978414851285E-4</v>
      </c>
      <c r="H2028" s="4">
        <f t="shared" si="1114"/>
        <v>1.5612978414851285E-4</v>
      </c>
      <c r="I2028" s="4">
        <f t="shared" si="1114"/>
        <v>1.5612978414851285E-4</v>
      </c>
      <c r="J2028" s="4">
        <f t="shared" si="1114"/>
        <v>1.5612978414851285E-4</v>
      </c>
      <c r="K2028" s="4">
        <f t="shared" si="1114"/>
        <v>1.5612978414851285E-4</v>
      </c>
      <c r="L2028" s="4">
        <f t="shared" si="1114"/>
        <v>1.5612978414851285E-4</v>
      </c>
      <c r="M2028" s="4">
        <f t="shared" si="1114"/>
        <v>1.5612978414851285E-4</v>
      </c>
      <c r="N2028" t="s">
        <v>256</v>
      </c>
      <c r="O2028" t="s">
        <v>280</v>
      </c>
      <c r="P2028" t="s">
        <v>378</v>
      </c>
      <c r="Q2028" s="4" t="s">
        <v>245</v>
      </c>
    </row>
    <row r="2029" spans="1:17" x14ac:dyDescent="0.25">
      <c r="A2029" t="s">
        <v>378</v>
      </c>
      <c r="B2029" t="s">
        <v>112</v>
      </c>
      <c r="C2029" s="4">
        <f t="shared" ref="C2029:M2029" si="1115">(0.00247367761416449/(0.00247367761416449+0.832079466311379+0.0127000784696626))*1.73832678812721%</f>
        <v>5.075295021878301E-5</v>
      </c>
      <c r="D2029" s="4">
        <f t="shared" si="1115"/>
        <v>5.075295021878301E-5</v>
      </c>
      <c r="E2029" s="4">
        <f t="shared" si="1115"/>
        <v>5.075295021878301E-5</v>
      </c>
      <c r="F2029" s="4">
        <f t="shared" si="1115"/>
        <v>5.075295021878301E-5</v>
      </c>
      <c r="G2029" s="4">
        <f t="shared" si="1115"/>
        <v>5.075295021878301E-5</v>
      </c>
      <c r="H2029" s="4">
        <f t="shared" si="1115"/>
        <v>5.075295021878301E-5</v>
      </c>
      <c r="I2029" s="4">
        <f t="shared" si="1115"/>
        <v>5.075295021878301E-5</v>
      </c>
      <c r="J2029" s="4">
        <f t="shared" si="1115"/>
        <v>5.075295021878301E-5</v>
      </c>
      <c r="K2029" s="4">
        <f t="shared" si="1115"/>
        <v>5.075295021878301E-5</v>
      </c>
      <c r="L2029" s="4">
        <f t="shared" si="1115"/>
        <v>5.075295021878301E-5</v>
      </c>
      <c r="M2029" s="4">
        <f t="shared" si="1115"/>
        <v>5.075295021878301E-5</v>
      </c>
      <c r="N2029" t="s">
        <v>242</v>
      </c>
      <c r="O2029" t="s">
        <v>380</v>
      </c>
      <c r="P2029" t="s">
        <v>378</v>
      </c>
      <c r="Q2029" s="4" t="s">
        <v>245</v>
      </c>
    </row>
    <row r="2030" spans="1:17" x14ac:dyDescent="0.25">
      <c r="A2030" t="s">
        <v>378</v>
      </c>
      <c r="B2030" t="s">
        <v>112</v>
      </c>
      <c r="C2030" s="4">
        <f t="shared" ref="C2030:M2030" si="1116">(0.832079466311379/(0.00247367761416449+0.832079466311379+0.0127000784696626)) * 1.73832678812721%</f>
        <v>1.7071944820116234E-2</v>
      </c>
      <c r="D2030" s="4">
        <f t="shared" si="1116"/>
        <v>1.7071944820116234E-2</v>
      </c>
      <c r="E2030" s="4">
        <f t="shared" si="1116"/>
        <v>1.7071944820116234E-2</v>
      </c>
      <c r="F2030" s="4">
        <f t="shared" si="1116"/>
        <v>1.7071944820116234E-2</v>
      </c>
      <c r="G2030" s="4">
        <f t="shared" si="1116"/>
        <v>1.7071944820116234E-2</v>
      </c>
      <c r="H2030" s="4">
        <f t="shared" si="1116"/>
        <v>1.7071944820116234E-2</v>
      </c>
      <c r="I2030" s="4">
        <f t="shared" si="1116"/>
        <v>1.7071944820116234E-2</v>
      </c>
      <c r="J2030" s="4">
        <f t="shared" si="1116"/>
        <v>1.7071944820116234E-2</v>
      </c>
      <c r="K2030" s="4">
        <f t="shared" si="1116"/>
        <v>1.7071944820116234E-2</v>
      </c>
      <c r="L2030" s="4">
        <f t="shared" si="1116"/>
        <v>1.7071944820116234E-2</v>
      </c>
      <c r="M2030" s="4">
        <f t="shared" si="1116"/>
        <v>1.7071944820116234E-2</v>
      </c>
      <c r="N2030" t="s">
        <v>242</v>
      </c>
      <c r="O2030" t="s">
        <v>315</v>
      </c>
      <c r="P2030" t="s">
        <v>378</v>
      </c>
      <c r="Q2030" s="4" t="s">
        <v>245</v>
      </c>
    </row>
    <row r="2031" spans="1:17" x14ac:dyDescent="0.25">
      <c r="A2031" t="s">
        <v>378</v>
      </c>
      <c r="B2031" t="s">
        <v>112</v>
      </c>
      <c r="C2031" s="4">
        <f t="shared" ref="C2031:M2031" si="1117">(0.0127000784696626/(0.00247367761416449+0.832079466311379+0.0127000784696626)) * 1.73832678812721%</f>
        <v>2.6057011093708456E-4</v>
      </c>
      <c r="D2031" s="4">
        <f t="shared" si="1117"/>
        <v>2.6057011093708456E-4</v>
      </c>
      <c r="E2031" s="4">
        <f t="shared" si="1117"/>
        <v>2.6057011093708456E-4</v>
      </c>
      <c r="F2031" s="4">
        <f t="shared" si="1117"/>
        <v>2.6057011093708456E-4</v>
      </c>
      <c r="G2031" s="4">
        <f t="shared" si="1117"/>
        <v>2.6057011093708456E-4</v>
      </c>
      <c r="H2031" s="4">
        <f t="shared" si="1117"/>
        <v>2.6057011093708456E-4</v>
      </c>
      <c r="I2031" s="4">
        <f t="shared" si="1117"/>
        <v>2.6057011093708456E-4</v>
      </c>
      <c r="J2031" s="4">
        <f t="shared" si="1117"/>
        <v>2.6057011093708456E-4</v>
      </c>
      <c r="K2031" s="4">
        <f t="shared" si="1117"/>
        <v>2.6057011093708456E-4</v>
      </c>
      <c r="L2031" s="4">
        <f t="shared" si="1117"/>
        <v>2.6057011093708456E-4</v>
      </c>
      <c r="M2031" s="4">
        <f t="shared" si="1117"/>
        <v>2.6057011093708456E-4</v>
      </c>
      <c r="N2031" t="s">
        <v>256</v>
      </c>
      <c r="O2031" t="s">
        <v>280</v>
      </c>
      <c r="P2031" t="s">
        <v>378</v>
      </c>
      <c r="Q2031" s="4" t="s">
        <v>245</v>
      </c>
    </row>
    <row r="2032" spans="1:17" x14ac:dyDescent="0.25">
      <c r="A2032" t="s">
        <v>378</v>
      </c>
      <c r="B2032" t="s">
        <v>113</v>
      </c>
      <c r="C2032" s="4">
        <f t="shared" ref="C2032:M2032" si="1118">(0.00247367761416449/(0.00247367761416449+0.832079466311379+0.0127000784696626))*6.32476455222546%</f>
        <v>1.846605958425416E-4</v>
      </c>
      <c r="D2032" s="4">
        <f t="shared" si="1118"/>
        <v>1.846605958425416E-4</v>
      </c>
      <c r="E2032" s="4">
        <f t="shared" si="1118"/>
        <v>1.846605958425416E-4</v>
      </c>
      <c r="F2032" s="4">
        <f t="shared" si="1118"/>
        <v>1.846605958425416E-4</v>
      </c>
      <c r="G2032" s="4">
        <f t="shared" si="1118"/>
        <v>1.846605958425416E-4</v>
      </c>
      <c r="H2032" s="4">
        <f t="shared" si="1118"/>
        <v>1.846605958425416E-4</v>
      </c>
      <c r="I2032" s="4">
        <f t="shared" si="1118"/>
        <v>1.846605958425416E-4</v>
      </c>
      <c r="J2032" s="4">
        <f t="shared" si="1118"/>
        <v>1.846605958425416E-4</v>
      </c>
      <c r="K2032" s="4">
        <f t="shared" si="1118"/>
        <v>1.846605958425416E-4</v>
      </c>
      <c r="L2032" s="4">
        <f t="shared" si="1118"/>
        <v>1.846605958425416E-4</v>
      </c>
      <c r="M2032" s="4">
        <f t="shared" si="1118"/>
        <v>1.846605958425416E-4</v>
      </c>
      <c r="N2032" t="s">
        <v>242</v>
      </c>
      <c r="O2032" t="s">
        <v>380</v>
      </c>
      <c r="P2032" t="s">
        <v>378</v>
      </c>
      <c r="Q2032" s="4" t="s">
        <v>245</v>
      </c>
    </row>
    <row r="2033" spans="1:18" x14ac:dyDescent="0.25">
      <c r="A2033" t="s">
        <v>378</v>
      </c>
      <c r="B2033" t="s">
        <v>113</v>
      </c>
      <c r="C2033" s="4">
        <f t="shared" ref="C2033:M2033" si="1119">(0.832079466311379/(0.00247367761416449+0.832079466311379+0.0127000784696626)) * 6.32476455222546%</f>
        <v>6.2114921183575852E-2</v>
      </c>
      <c r="D2033" s="4">
        <f t="shared" si="1119"/>
        <v>6.2114921183575852E-2</v>
      </c>
      <c r="E2033" s="4">
        <f t="shared" si="1119"/>
        <v>6.2114921183575852E-2</v>
      </c>
      <c r="F2033" s="4">
        <f t="shared" si="1119"/>
        <v>6.2114921183575852E-2</v>
      </c>
      <c r="G2033" s="4">
        <f t="shared" si="1119"/>
        <v>6.2114921183575852E-2</v>
      </c>
      <c r="H2033" s="4">
        <f t="shared" si="1119"/>
        <v>6.2114921183575852E-2</v>
      </c>
      <c r="I2033" s="4">
        <f t="shared" si="1119"/>
        <v>6.2114921183575852E-2</v>
      </c>
      <c r="J2033" s="4">
        <f t="shared" si="1119"/>
        <v>6.2114921183575852E-2</v>
      </c>
      <c r="K2033" s="4">
        <f t="shared" si="1119"/>
        <v>6.2114921183575852E-2</v>
      </c>
      <c r="L2033" s="4">
        <f t="shared" si="1119"/>
        <v>6.2114921183575852E-2</v>
      </c>
      <c r="M2033" s="4">
        <f t="shared" si="1119"/>
        <v>6.2114921183575852E-2</v>
      </c>
      <c r="N2033" t="s">
        <v>242</v>
      </c>
      <c r="O2033" t="s">
        <v>315</v>
      </c>
      <c r="P2033" t="s">
        <v>378</v>
      </c>
      <c r="Q2033" s="4" t="s">
        <v>245</v>
      </c>
    </row>
    <row r="2034" spans="1:18" x14ac:dyDescent="0.25">
      <c r="A2034" t="s">
        <v>378</v>
      </c>
      <c r="B2034" t="s">
        <v>113</v>
      </c>
      <c r="C2034" s="4">
        <f t="shared" ref="C2034:M2034" si="1120">(0.0127000784696626/(0.00247367761416449+0.832079466311379+0.0127000784696626)) * 6.32476455222546%</f>
        <v>9.4806374283620885E-4</v>
      </c>
      <c r="D2034" s="4">
        <f t="shared" si="1120"/>
        <v>9.4806374283620885E-4</v>
      </c>
      <c r="E2034" s="4">
        <f t="shared" si="1120"/>
        <v>9.4806374283620885E-4</v>
      </c>
      <c r="F2034" s="4">
        <f t="shared" si="1120"/>
        <v>9.4806374283620885E-4</v>
      </c>
      <c r="G2034" s="4">
        <f t="shared" si="1120"/>
        <v>9.4806374283620885E-4</v>
      </c>
      <c r="H2034" s="4">
        <f t="shared" si="1120"/>
        <v>9.4806374283620885E-4</v>
      </c>
      <c r="I2034" s="4">
        <f t="shared" si="1120"/>
        <v>9.4806374283620885E-4</v>
      </c>
      <c r="J2034" s="4">
        <f t="shared" si="1120"/>
        <v>9.4806374283620885E-4</v>
      </c>
      <c r="K2034" s="4">
        <f t="shared" si="1120"/>
        <v>9.4806374283620885E-4</v>
      </c>
      <c r="L2034" s="4">
        <f t="shared" si="1120"/>
        <v>9.4806374283620885E-4</v>
      </c>
      <c r="M2034" s="4">
        <f t="shared" si="1120"/>
        <v>9.4806374283620885E-4</v>
      </c>
      <c r="N2034" t="s">
        <v>256</v>
      </c>
      <c r="O2034" t="s">
        <v>280</v>
      </c>
      <c r="P2034" t="s">
        <v>378</v>
      </c>
      <c r="Q2034" s="4" t="s">
        <v>245</v>
      </c>
    </row>
    <row r="2035" spans="1:18" x14ac:dyDescent="0.25">
      <c r="A2035" t="s">
        <v>378</v>
      </c>
      <c r="B2035" t="s">
        <v>140</v>
      </c>
      <c r="C2035" s="4">
        <f t="shared" ref="C2035:M2035" si="1121">(0.00247367761416449/(0.00247367761416449+0.832079466311379+0.0127000784696626))*0.00240402246283622%</f>
        <v>7.0188892683758174E-8</v>
      </c>
      <c r="D2035" s="4">
        <f t="shared" si="1121"/>
        <v>7.0188892683758174E-8</v>
      </c>
      <c r="E2035" s="4">
        <f t="shared" si="1121"/>
        <v>7.0188892683758174E-8</v>
      </c>
      <c r="F2035" s="4">
        <f t="shared" si="1121"/>
        <v>7.0188892683758174E-8</v>
      </c>
      <c r="G2035" s="4">
        <f t="shared" si="1121"/>
        <v>7.0188892683758174E-8</v>
      </c>
      <c r="H2035" s="4">
        <f t="shared" si="1121"/>
        <v>7.0188892683758174E-8</v>
      </c>
      <c r="I2035" s="4">
        <f t="shared" si="1121"/>
        <v>7.0188892683758174E-8</v>
      </c>
      <c r="J2035" s="4">
        <f t="shared" si="1121"/>
        <v>7.0188892683758174E-8</v>
      </c>
      <c r="K2035" s="4">
        <f t="shared" si="1121"/>
        <v>7.0188892683758174E-8</v>
      </c>
      <c r="L2035" s="4">
        <f t="shared" si="1121"/>
        <v>7.0188892683758174E-8</v>
      </c>
      <c r="M2035" s="4">
        <f t="shared" si="1121"/>
        <v>7.0188892683758174E-8</v>
      </c>
      <c r="N2035" t="s">
        <v>242</v>
      </c>
      <c r="O2035" t="s">
        <v>380</v>
      </c>
      <c r="P2035" t="s">
        <v>378</v>
      </c>
      <c r="Q2035" s="4" t="s">
        <v>245</v>
      </c>
    </row>
    <row r="2036" spans="1:18" x14ac:dyDescent="0.25">
      <c r="A2036" t="s">
        <v>378</v>
      </c>
      <c r="B2036" t="s">
        <v>140</v>
      </c>
      <c r="C2036" s="4">
        <f t="shared" ref="C2036:M2036" si="1122">(0.832079466311379/(0.00247367761416449+0.832079466311379+0.0127000784696626)) * 0.00240402246283622%</f>
        <v>2.3609679786431783E-5</v>
      </c>
      <c r="D2036" s="4">
        <f t="shared" si="1122"/>
        <v>2.3609679786431783E-5</v>
      </c>
      <c r="E2036" s="4">
        <f t="shared" si="1122"/>
        <v>2.3609679786431783E-5</v>
      </c>
      <c r="F2036" s="4">
        <f t="shared" si="1122"/>
        <v>2.3609679786431783E-5</v>
      </c>
      <c r="G2036" s="4">
        <f t="shared" si="1122"/>
        <v>2.3609679786431783E-5</v>
      </c>
      <c r="H2036" s="4">
        <f t="shared" si="1122"/>
        <v>2.3609679786431783E-5</v>
      </c>
      <c r="I2036" s="4">
        <f t="shared" si="1122"/>
        <v>2.3609679786431783E-5</v>
      </c>
      <c r="J2036" s="4">
        <f t="shared" si="1122"/>
        <v>2.3609679786431783E-5</v>
      </c>
      <c r="K2036" s="4">
        <f t="shared" si="1122"/>
        <v>2.3609679786431783E-5</v>
      </c>
      <c r="L2036" s="4">
        <f t="shared" si="1122"/>
        <v>2.3609679786431783E-5</v>
      </c>
      <c r="M2036" s="4">
        <f t="shared" si="1122"/>
        <v>2.3609679786431783E-5</v>
      </c>
      <c r="N2036" t="s">
        <v>242</v>
      </c>
      <c r="O2036" t="s">
        <v>315</v>
      </c>
      <c r="P2036" t="s">
        <v>378</v>
      </c>
      <c r="Q2036" s="4" t="s">
        <v>245</v>
      </c>
    </row>
    <row r="2037" spans="1:18" x14ac:dyDescent="0.25">
      <c r="A2037" t="s">
        <v>378</v>
      </c>
      <c r="B2037" t="s">
        <v>140</v>
      </c>
      <c r="C2037" s="4">
        <f t="shared" ref="C2037:M2037" si="1123">(0.0127000784696626/(0.00247367761416449+0.832079466311379+0.0127000784696626)) * 0.00240402246283622%</f>
        <v>3.6035594924665922E-7</v>
      </c>
      <c r="D2037" s="4">
        <f t="shared" si="1123"/>
        <v>3.6035594924665922E-7</v>
      </c>
      <c r="E2037" s="4">
        <f t="shared" si="1123"/>
        <v>3.6035594924665922E-7</v>
      </c>
      <c r="F2037" s="4">
        <f t="shared" si="1123"/>
        <v>3.6035594924665922E-7</v>
      </c>
      <c r="G2037" s="4">
        <f t="shared" si="1123"/>
        <v>3.6035594924665922E-7</v>
      </c>
      <c r="H2037" s="4">
        <f t="shared" si="1123"/>
        <v>3.6035594924665922E-7</v>
      </c>
      <c r="I2037" s="4">
        <f t="shared" si="1123"/>
        <v>3.6035594924665922E-7</v>
      </c>
      <c r="J2037" s="4">
        <f t="shared" si="1123"/>
        <v>3.6035594924665922E-7</v>
      </c>
      <c r="K2037" s="4">
        <f t="shared" si="1123"/>
        <v>3.6035594924665922E-7</v>
      </c>
      <c r="L2037" s="4">
        <f t="shared" si="1123"/>
        <v>3.6035594924665922E-7</v>
      </c>
      <c r="M2037" s="4">
        <f t="shared" si="1123"/>
        <v>3.6035594924665922E-7</v>
      </c>
      <c r="N2037" t="s">
        <v>256</v>
      </c>
      <c r="O2037" t="s">
        <v>280</v>
      </c>
      <c r="P2037" t="s">
        <v>378</v>
      </c>
      <c r="Q2037" s="4" t="s">
        <v>245</v>
      </c>
    </row>
    <row r="2038" spans="1:18" x14ac:dyDescent="0.25">
      <c r="A2038" t="s">
        <v>378</v>
      </c>
      <c r="B2038" t="s">
        <v>180</v>
      </c>
      <c r="C2038" s="4">
        <f t="shared" ref="C2038:M2038" si="1124">(0.00247367761416449/(0.00247367761416449+0.832079466311379+0.0127000784696626))*0.50397052720912%</f>
        <v>1.4714144229886023E-5</v>
      </c>
      <c r="D2038" s="4">
        <f t="shared" si="1124"/>
        <v>1.4714144229886023E-5</v>
      </c>
      <c r="E2038" s="4">
        <f t="shared" si="1124"/>
        <v>1.4714144229886023E-5</v>
      </c>
      <c r="F2038" s="4">
        <f t="shared" si="1124"/>
        <v>1.4714144229886023E-5</v>
      </c>
      <c r="G2038" s="4">
        <f t="shared" si="1124"/>
        <v>1.4714144229886023E-5</v>
      </c>
      <c r="H2038" s="4">
        <f t="shared" si="1124"/>
        <v>1.4714144229886023E-5</v>
      </c>
      <c r="I2038" s="4">
        <f t="shared" si="1124"/>
        <v>1.4714144229886023E-5</v>
      </c>
      <c r="J2038" s="4">
        <f t="shared" si="1124"/>
        <v>1.4714144229886023E-5</v>
      </c>
      <c r="K2038" s="4">
        <f t="shared" si="1124"/>
        <v>1.4714144229886023E-5</v>
      </c>
      <c r="L2038" s="4">
        <f t="shared" si="1124"/>
        <v>1.4714144229886023E-5</v>
      </c>
      <c r="M2038" s="4">
        <f t="shared" si="1124"/>
        <v>1.4714144229886023E-5</v>
      </c>
      <c r="N2038" t="s">
        <v>242</v>
      </c>
      <c r="O2038" t="s">
        <v>380</v>
      </c>
      <c r="P2038" t="s">
        <v>378</v>
      </c>
      <c r="Q2038" s="4" t="s">
        <v>245</v>
      </c>
    </row>
    <row r="2039" spans="1:18" x14ac:dyDescent="0.25">
      <c r="A2039" t="s">
        <v>378</v>
      </c>
      <c r="B2039" t="s">
        <v>180</v>
      </c>
      <c r="C2039" s="4">
        <f t="shared" ref="C2039:M2039" si="1125">(0.832079466311379/(0.00247367761416449+0.832079466311379+0.0127000784696626)) * 0.50397052720912%</f>
        <v>4.9494474170465137E-3</v>
      </c>
      <c r="D2039" s="4">
        <f t="shared" si="1125"/>
        <v>4.9494474170465137E-3</v>
      </c>
      <c r="E2039" s="4">
        <f t="shared" si="1125"/>
        <v>4.9494474170465137E-3</v>
      </c>
      <c r="F2039" s="4">
        <f t="shared" si="1125"/>
        <v>4.9494474170465137E-3</v>
      </c>
      <c r="G2039" s="4">
        <f t="shared" si="1125"/>
        <v>4.9494474170465137E-3</v>
      </c>
      <c r="H2039" s="4">
        <f t="shared" si="1125"/>
        <v>4.9494474170465137E-3</v>
      </c>
      <c r="I2039" s="4">
        <f t="shared" si="1125"/>
        <v>4.9494474170465137E-3</v>
      </c>
      <c r="J2039" s="4">
        <f t="shared" si="1125"/>
        <v>4.9494474170465137E-3</v>
      </c>
      <c r="K2039" s="4">
        <f t="shared" si="1125"/>
        <v>4.9494474170465137E-3</v>
      </c>
      <c r="L2039" s="4">
        <f t="shared" si="1125"/>
        <v>4.9494474170465137E-3</v>
      </c>
      <c r="M2039" s="4">
        <f t="shared" si="1125"/>
        <v>4.9494474170465137E-3</v>
      </c>
      <c r="N2039" t="s">
        <v>242</v>
      </c>
      <c r="O2039" t="s">
        <v>315</v>
      </c>
      <c r="P2039" t="s">
        <v>378</v>
      </c>
      <c r="Q2039" s="4" t="s">
        <v>245</v>
      </c>
    </row>
    <row r="2040" spans="1:18" x14ac:dyDescent="0.25">
      <c r="A2040" t="s">
        <v>378</v>
      </c>
      <c r="B2040" t="s">
        <v>180</v>
      </c>
      <c r="C2040" s="4">
        <f t="shared" ref="C2040:M2040" si="1126">(0.0127000784696626/(0.00247367761416449+0.832079466311379+0.0127000784696626)) * 0.50397052720912%</f>
        <v>7.5543710814799604E-5</v>
      </c>
      <c r="D2040" s="4">
        <f t="shared" si="1126"/>
        <v>7.5543710814799604E-5</v>
      </c>
      <c r="E2040" s="4">
        <f t="shared" si="1126"/>
        <v>7.5543710814799604E-5</v>
      </c>
      <c r="F2040" s="4">
        <f t="shared" si="1126"/>
        <v>7.5543710814799604E-5</v>
      </c>
      <c r="G2040" s="4">
        <f t="shared" si="1126"/>
        <v>7.5543710814799604E-5</v>
      </c>
      <c r="H2040" s="4">
        <f t="shared" si="1126"/>
        <v>7.5543710814799604E-5</v>
      </c>
      <c r="I2040" s="4">
        <f t="shared" si="1126"/>
        <v>7.5543710814799604E-5</v>
      </c>
      <c r="J2040" s="4">
        <f t="shared" si="1126"/>
        <v>7.5543710814799604E-5</v>
      </c>
      <c r="K2040" s="4">
        <f t="shared" si="1126"/>
        <v>7.5543710814799604E-5</v>
      </c>
      <c r="L2040" s="4">
        <f t="shared" si="1126"/>
        <v>7.5543710814799604E-5</v>
      </c>
      <c r="M2040" s="4">
        <f t="shared" si="1126"/>
        <v>7.5543710814799604E-5</v>
      </c>
      <c r="N2040" t="s">
        <v>256</v>
      </c>
      <c r="O2040" t="s">
        <v>280</v>
      </c>
      <c r="P2040" t="s">
        <v>378</v>
      </c>
      <c r="Q2040" s="4" t="s">
        <v>245</v>
      </c>
    </row>
    <row r="2041" spans="1:18" x14ac:dyDescent="0.25">
      <c r="A2041" t="s">
        <v>378</v>
      </c>
      <c r="B2041" t="s">
        <v>115</v>
      </c>
      <c r="C2041" s="4">
        <f t="shared" ref="C2041:M2041" si="1127">(0.00247367761416449/(0.00247367761416449+0.832079466311379+0.0127000784696626))*0.228600681466062%</f>
        <v>6.6743256133828126E-6</v>
      </c>
      <c r="D2041" s="4">
        <f t="shared" si="1127"/>
        <v>6.6743256133828126E-6</v>
      </c>
      <c r="E2041" s="4">
        <f t="shared" si="1127"/>
        <v>6.6743256133828126E-6</v>
      </c>
      <c r="F2041" s="4">
        <f t="shared" si="1127"/>
        <v>6.6743256133828126E-6</v>
      </c>
      <c r="G2041" s="4">
        <f t="shared" si="1127"/>
        <v>6.6743256133828126E-6</v>
      </c>
      <c r="H2041" s="4">
        <f t="shared" si="1127"/>
        <v>6.6743256133828126E-6</v>
      </c>
      <c r="I2041" s="4">
        <f t="shared" si="1127"/>
        <v>6.6743256133828126E-6</v>
      </c>
      <c r="J2041" s="4">
        <f t="shared" si="1127"/>
        <v>6.6743256133828126E-6</v>
      </c>
      <c r="K2041" s="4">
        <f t="shared" si="1127"/>
        <v>6.6743256133828126E-6</v>
      </c>
      <c r="L2041" s="4">
        <f t="shared" si="1127"/>
        <v>6.6743256133828126E-6</v>
      </c>
      <c r="M2041" s="4">
        <f t="shared" si="1127"/>
        <v>6.6743256133828126E-6</v>
      </c>
      <c r="N2041" t="s">
        <v>242</v>
      </c>
      <c r="O2041" t="s">
        <v>380</v>
      </c>
      <c r="P2041" t="s">
        <v>378</v>
      </c>
      <c r="Q2041" s="4" t="s">
        <v>245</v>
      </c>
    </row>
    <row r="2042" spans="1:18" x14ac:dyDescent="0.25">
      <c r="A2042" t="s">
        <v>378</v>
      </c>
      <c r="B2042" t="s">
        <v>115</v>
      </c>
      <c r="C2042" s="4">
        <f t="shared" ref="C2042:M2042" si="1128">(0.832079466311379/(0.00247367761416449+0.832079466311379+0.0127000784696626)) * 0.228600681466062%</f>
        <v>2.2450659142370546E-3</v>
      </c>
      <c r="D2042" s="4">
        <f t="shared" si="1128"/>
        <v>2.2450659142370546E-3</v>
      </c>
      <c r="E2042" s="4">
        <f t="shared" si="1128"/>
        <v>2.2450659142370546E-3</v>
      </c>
      <c r="F2042" s="4">
        <f t="shared" si="1128"/>
        <v>2.2450659142370546E-3</v>
      </c>
      <c r="G2042" s="4">
        <f t="shared" si="1128"/>
        <v>2.2450659142370546E-3</v>
      </c>
      <c r="H2042" s="4">
        <f t="shared" si="1128"/>
        <v>2.2450659142370546E-3</v>
      </c>
      <c r="I2042" s="4">
        <f t="shared" si="1128"/>
        <v>2.2450659142370546E-3</v>
      </c>
      <c r="J2042" s="4">
        <f t="shared" si="1128"/>
        <v>2.2450659142370546E-3</v>
      </c>
      <c r="K2042" s="4">
        <f t="shared" si="1128"/>
        <v>2.2450659142370546E-3</v>
      </c>
      <c r="L2042" s="4">
        <f t="shared" si="1128"/>
        <v>2.2450659142370546E-3</v>
      </c>
      <c r="M2042" s="4">
        <f t="shared" si="1128"/>
        <v>2.2450659142370546E-3</v>
      </c>
      <c r="N2042" t="s">
        <v>242</v>
      </c>
      <c r="O2042" t="s">
        <v>315</v>
      </c>
      <c r="P2042" t="s">
        <v>378</v>
      </c>
      <c r="Q2042" s="4" t="s">
        <v>245</v>
      </c>
    </row>
    <row r="2043" spans="1:18" x14ac:dyDescent="0.25">
      <c r="A2043" t="s">
        <v>378</v>
      </c>
      <c r="B2043" t="s">
        <v>115</v>
      </c>
      <c r="C2043" s="4">
        <f t="shared" ref="C2043:M2043" si="1129">(0.0127000784696626/(0.00247367761416449+0.832079466311379+0.0127000784696626)) * 0.228600681466062%</f>
        <v>3.4266574810182268E-5</v>
      </c>
      <c r="D2043" s="4">
        <f t="shared" si="1129"/>
        <v>3.4266574810182268E-5</v>
      </c>
      <c r="E2043" s="4">
        <f t="shared" si="1129"/>
        <v>3.4266574810182268E-5</v>
      </c>
      <c r="F2043" s="4">
        <f t="shared" si="1129"/>
        <v>3.4266574810182268E-5</v>
      </c>
      <c r="G2043" s="4">
        <f t="shared" si="1129"/>
        <v>3.4266574810182268E-5</v>
      </c>
      <c r="H2043" s="4">
        <f t="shared" si="1129"/>
        <v>3.4266574810182268E-5</v>
      </c>
      <c r="I2043" s="4">
        <f t="shared" si="1129"/>
        <v>3.4266574810182268E-5</v>
      </c>
      <c r="J2043" s="4">
        <f t="shared" si="1129"/>
        <v>3.4266574810182268E-5</v>
      </c>
      <c r="K2043" s="4">
        <f t="shared" si="1129"/>
        <v>3.4266574810182268E-5</v>
      </c>
      <c r="L2043" s="4">
        <f t="shared" si="1129"/>
        <v>3.4266574810182268E-5</v>
      </c>
      <c r="M2043" s="4">
        <f t="shared" si="1129"/>
        <v>3.4266574810182268E-5</v>
      </c>
      <c r="N2043" t="s">
        <v>256</v>
      </c>
      <c r="O2043" t="s">
        <v>280</v>
      </c>
      <c r="P2043" t="s">
        <v>378</v>
      </c>
      <c r="Q2043" s="4" t="s">
        <v>245</v>
      </c>
    </row>
    <row r="2044" spans="1:18" x14ac:dyDescent="0.25">
      <c r="A2044" t="s">
        <v>382</v>
      </c>
      <c r="B2044" t="s">
        <v>183</v>
      </c>
      <c r="C2044" s="4">
        <v>6.9943899746610736E-4</v>
      </c>
      <c r="D2044" s="4">
        <v>6.9943899746610736E-4</v>
      </c>
      <c r="E2044" s="4">
        <v>6.9943899746610736E-4</v>
      </c>
      <c r="F2044" s="4">
        <v>6.9943899746610736E-4</v>
      </c>
      <c r="G2044" s="4">
        <v>6.9943899746610736E-4</v>
      </c>
      <c r="H2044" s="4">
        <v>6.9943899746610736E-4</v>
      </c>
      <c r="I2044" s="4">
        <v>6.9943899746610736E-4</v>
      </c>
      <c r="J2044" s="4">
        <v>6.9943899746610736E-4</v>
      </c>
      <c r="K2044" s="4">
        <v>6.9943899746610736E-4</v>
      </c>
      <c r="L2044" s="4">
        <v>6.9943899746610736E-4</v>
      </c>
      <c r="M2044" s="4">
        <v>6.9943899746610736E-4</v>
      </c>
      <c r="N2044" t="s">
        <v>242</v>
      </c>
      <c r="O2044" t="s">
        <v>381</v>
      </c>
      <c r="P2044" t="s">
        <v>382</v>
      </c>
      <c r="Q2044" t="s">
        <v>245</v>
      </c>
      <c r="R2044" t="s">
        <v>383</v>
      </c>
    </row>
    <row r="2045" spans="1:18" x14ac:dyDescent="0.25">
      <c r="A2045" t="s">
        <v>382</v>
      </c>
      <c r="B2045" t="s">
        <v>124</v>
      </c>
      <c r="C2045" s="4">
        <v>2.4210127116838218E-3</v>
      </c>
      <c r="D2045" s="4">
        <v>2.4210127116838218E-3</v>
      </c>
      <c r="E2045" s="4">
        <v>2.4210127116838218E-3</v>
      </c>
      <c r="F2045" s="4">
        <v>2.4210127116838218E-3</v>
      </c>
      <c r="G2045" s="4">
        <v>2.4210127116838218E-3</v>
      </c>
      <c r="H2045" s="4">
        <v>2.4210127116838218E-3</v>
      </c>
      <c r="I2045" s="4">
        <v>2.4210127116838218E-3</v>
      </c>
      <c r="J2045" s="4">
        <v>2.4210127116838218E-3</v>
      </c>
      <c r="K2045" s="4">
        <v>2.4210127116838218E-3</v>
      </c>
      <c r="L2045" s="4">
        <v>2.4210127116838218E-3</v>
      </c>
      <c r="M2045" s="4">
        <v>2.4210127116838218E-3</v>
      </c>
      <c r="N2045" t="s">
        <v>242</v>
      </c>
      <c r="O2045" t="s">
        <v>381</v>
      </c>
      <c r="P2045" t="s">
        <v>382</v>
      </c>
      <c r="Q2045" t="s">
        <v>245</v>
      </c>
      <c r="R2045" t="s">
        <v>567</v>
      </c>
    </row>
    <row r="2046" spans="1:18" x14ac:dyDescent="0.25">
      <c r="A2046" t="s">
        <v>382</v>
      </c>
      <c r="B2046" t="s">
        <v>83</v>
      </c>
      <c r="C2046" s="4">
        <v>1.351500540658397E-2</v>
      </c>
      <c r="D2046" s="4">
        <v>1.351500540658397E-2</v>
      </c>
      <c r="E2046" s="4">
        <v>1.351500540658397E-2</v>
      </c>
      <c r="F2046" s="4">
        <v>1.351500540658397E-2</v>
      </c>
      <c r="G2046" s="4">
        <v>1.351500540658397E-2</v>
      </c>
      <c r="H2046" s="4">
        <v>1.351500540658397E-2</v>
      </c>
      <c r="I2046" s="4">
        <v>1.351500540658397E-2</v>
      </c>
      <c r="J2046" s="4">
        <v>1.351500540658397E-2</v>
      </c>
      <c r="K2046" s="4">
        <v>1.351500540658397E-2</v>
      </c>
      <c r="L2046" s="4">
        <v>1.351500540658397E-2</v>
      </c>
      <c r="M2046" s="4">
        <v>1.351500540658397E-2</v>
      </c>
      <c r="N2046" t="s">
        <v>242</v>
      </c>
      <c r="O2046" t="s">
        <v>381</v>
      </c>
      <c r="P2046" t="s">
        <v>382</v>
      </c>
      <c r="Q2046" t="s">
        <v>245</v>
      </c>
    </row>
    <row r="2047" spans="1:18" x14ac:dyDescent="0.25">
      <c r="A2047" t="s">
        <v>382</v>
      </c>
      <c r="B2047" t="s">
        <v>181</v>
      </c>
      <c r="C2047" s="4">
        <v>2.1301096741013271E-3</v>
      </c>
      <c r="D2047" s="4">
        <v>2.1301096741013271E-3</v>
      </c>
      <c r="E2047" s="4">
        <v>2.1301096741013271E-3</v>
      </c>
      <c r="F2047" s="4">
        <v>2.1301096741013271E-3</v>
      </c>
      <c r="G2047" s="4">
        <v>2.1301096741013271E-3</v>
      </c>
      <c r="H2047" s="4">
        <v>2.1301096741013271E-3</v>
      </c>
      <c r="I2047" s="4">
        <v>2.1301096741013271E-3</v>
      </c>
      <c r="J2047" s="4">
        <v>2.1301096741013271E-3</v>
      </c>
      <c r="K2047" s="4">
        <v>2.1301096741013271E-3</v>
      </c>
      <c r="L2047" s="4">
        <v>2.1301096741013271E-3</v>
      </c>
      <c r="M2047" s="4">
        <v>2.1301096741013271E-3</v>
      </c>
      <c r="N2047" t="s">
        <v>242</v>
      </c>
      <c r="O2047" t="s">
        <v>381</v>
      </c>
      <c r="P2047" t="s">
        <v>382</v>
      </c>
      <c r="Q2047" t="s">
        <v>245</v>
      </c>
    </row>
    <row r="2048" spans="1:18" x14ac:dyDescent="0.25">
      <c r="A2048" t="s">
        <v>382</v>
      </c>
      <c r="B2048" t="s">
        <v>163</v>
      </c>
      <c r="C2048" s="4">
        <v>1.103075705099287E-2</v>
      </c>
      <c r="D2048" s="4">
        <v>1.103075705099287E-2</v>
      </c>
      <c r="E2048" s="4">
        <v>1.103075705099287E-2</v>
      </c>
      <c r="F2048" s="4">
        <v>1.103075705099287E-2</v>
      </c>
      <c r="G2048" s="4">
        <v>1.103075705099287E-2</v>
      </c>
      <c r="H2048" s="4">
        <v>1.103075705099287E-2</v>
      </c>
      <c r="I2048" s="4">
        <v>1.103075705099287E-2</v>
      </c>
      <c r="J2048" s="4">
        <v>1.103075705099287E-2</v>
      </c>
      <c r="K2048" s="4">
        <v>1.103075705099287E-2</v>
      </c>
      <c r="L2048" s="4">
        <v>1.103075705099287E-2</v>
      </c>
      <c r="M2048" s="4">
        <v>1.103075705099287E-2</v>
      </c>
      <c r="N2048" t="s">
        <v>242</v>
      </c>
      <c r="O2048" t="s">
        <v>381</v>
      </c>
      <c r="P2048" t="s">
        <v>382</v>
      </c>
      <c r="Q2048" t="s">
        <v>245</v>
      </c>
    </row>
    <row r="2049" spans="1:17" x14ac:dyDescent="0.25">
      <c r="A2049" t="s">
        <v>382</v>
      </c>
      <c r="B2049" t="s">
        <v>144</v>
      </c>
      <c r="C2049" s="4">
        <v>1.4147743357837171E-4</v>
      </c>
      <c r="D2049" s="4">
        <v>1.4147743357837171E-4</v>
      </c>
      <c r="E2049" s="4">
        <v>1.4147743357837171E-4</v>
      </c>
      <c r="F2049" s="4">
        <v>1.4147743357837171E-4</v>
      </c>
      <c r="G2049" s="4">
        <v>1.4147743357837171E-4</v>
      </c>
      <c r="H2049" s="4">
        <v>1.4147743357837171E-4</v>
      </c>
      <c r="I2049" s="4">
        <v>1.4147743357837171E-4</v>
      </c>
      <c r="J2049" s="4">
        <v>1.4147743357837171E-4</v>
      </c>
      <c r="K2049" s="4">
        <v>1.4147743357837171E-4</v>
      </c>
      <c r="L2049" s="4">
        <v>1.4147743357837171E-4</v>
      </c>
      <c r="M2049" s="4">
        <v>1.4147743357837171E-4</v>
      </c>
      <c r="N2049" t="s">
        <v>242</v>
      </c>
      <c r="O2049" t="s">
        <v>381</v>
      </c>
      <c r="P2049" t="s">
        <v>382</v>
      </c>
      <c r="Q2049" t="s">
        <v>245</v>
      </c>
    </row>
    <row r="2050" spans="1:17" x14ac:dyDescent="0.25">
      <c r="A2050" t="s">
        <v>382</v>
      </c>
      <c r="B2050" t="s">
        <v>84</v>
      </c>
      <c r="C2050" s="4">
        <v>4.1330486213906352E-7</v>
      </c>
      <c r="D2050" s="4">
        <v>4.1330486213906352E-7</v>
      </c>
      <c r="E2050" s="4">
        <v>4.1330486213906352E-7</v>
      </c>
      <c r="F2050" s="4">
        <v>4.1330486213906352E-7</v>
      </c>
      <c r="G2050" s="4">
        <v>4.1330486213906352E-7</v>
      </c>
      <c r="H2050" s="4">
        <v>4.1330486213906352E-7</v>
      </c>
      <c r="I2050" s="4">
        <v>4.1330486213906352E-7</v>
      </c>
      <c r="J2050" s="4">
        <v>4.1330486213906352E-7</v>
      </c>
      <c r="K2050" s="4">
        <v>4.1330486213906352E-7</v>
      </c>
      <c r="L2050" s="4">
        <v>4.1330486213906352E-7</v>
      </c>
      <c r="M2050" s="4">
        <v>4.1330486213906352E-7</v>
      </c>
      <c r="N2050" t="s">
        <v>242</v>
      </c>
      <c r="O2050" t="s">
        <v>381</v>
      </c>
      <c r="P2050" t="s">
        <v>382</v>
      </c>
      <c r="Q2050" t="s">
        <v>245</v>
      </c>
    </row>
    <row r="2051" spans="1:17" x14ac:dyDescent="0.25">
      <c r="A2051" t="s">
        <v>382</v>
      </c>
      <c r="B2051" t="s">
        <v>85</v>
      </c>
      <c r="C2051" s="4">
        <v>2.018116773534322E-2</v>
      </c>
      <c r="D2051" s="4">
        <v>2.018116773534322E-2</v>
      </c>
      <c r="E2051" s="4">
        <v>2.018116773534322E-2</v>
      </c>
      <c r="F2051" s="4">
        <v>2.018116773534322E-2</v>
      </c>
      <c r="G2051" s="4">
        <v>2.018116773534322E-2</v>
      </c>
      <c r="H2051" s="4">
        <v>2.018116773534322E-2</v>
      </c>
      <c r="I2051" s="4">
        <v>2.018116773534322E-2</v>
      </c>
      <c r="J2051" s="4">
        <v>2.018116773534322E-2</v>
      </c>
      <c r="K2051" s="4">
        <v>2.018116773534322E-2</v>
      </c>
      <c r="L2051" s="4">
        <v>2.018116773534322E-2</v>
      </c>
      <c r="M2051" s="4">
        <v>2.018116773534322E-2</v>
      </c>
      <c r="N2051" t="s">
        <v>242</v>
      </c>
      <c r="O2051" t="s">
        <v>381</v>
      </c>
      <c r="P2051" t="s">
        <v>382</v>
      </c>
      <c r="Q2051" t="s">
        <v>245</v>
      </c>
    </row>
    <row r="2052" spans="1:17" x14ac:dyDescent="0.25">
      <c r="A2052" t="s">
        <v>382</v>
      </c>
      <c r="B2052" t="s">
        <v>147</v>
      </c>
      <c r="C2052" s="4">
        <v>8.106911285494324E-3</v>
      </c>
      <c r="D2052" s="4">
        <v>8.106911285494324E-3</v>
      </c>
      <c r="E2052" s="4">
        <v>8.106911285494324E-3</v>
      </c>
      <c r="F2052" s="4">
        <v>8.106911285494324E-3</v>
      </c>
      <c r="G2052" s="4">
        <v>8.106911285494324E-3</v>
      </c>
      <c r="H2052" s="4">
        <v>8.106911285494324E-3</v>
      </c>
      <c r="I2052" s="4">
        <v>8.106911285494324E-3</v>
      </c>
      <c r="J2052" s="4">
        <v>8.106911285494324E-3</v>
      </c>
      <c r="K2052" s="4">
        <v>8.106911285494324E-3</v>
      </c>
      <c r="L2052" s="4">
        <v>8.106911285494324E-3</v>
      </c>
      <c r="M2052" s="4">
        <v>8.106911285494324E-3</v>
      </c>
      <c r="N2052" t="s">
        <v>242</v>
      </c>
      <c r="O2052" t="s">
        <v>381</v>
      </c>
      <c r="P2052" t="s">
        <v>382</v>
      </c>
      <c r="Q2052" t="s">
        <v>245</v>
      </c>
    </row>
    <row r="2053" spans="1:17" x14ac:dyDescent="0.25">
      <c r="A2053" t="s">
        <v>382</v>
      </c>
      <c r="B2053" t="s">
        <v>116</v>
      </c>
      <c r="C2053" s="4">
        <v>1.8798758349533162E-2</v>
      </c>
      <c r="D2053" s="4">
        <v>1.8798758349533162E-2</v>
      </c>
      <c r="E2053" s="4">
        <v>1.8798758349533162E-2</v>
      </c>
      <c r="F2053" s="4">
        <v>1.8798758349533162E-2</v>
      </c>
      <c r="G2053" s="4">
        <v>1.8798758349533162E-2</v>
      </c>
      <c r="H2053" s="4">
        <v>1.8798758349533162E-2</v>
      </c>
      <c r="I2053" s="4">
        <v>1.8798758349533162E-2</v>
      </c>
      <c r="J2053" s="4">
        <v>1.8798758349533162E-2</v>
      </c>
      <c r="K2053" s="4">
        <v>1.8798758349533162E-2</v>
      </c>
      <c r="L2053" s="4">
        <v>1.8798758349533162E-2</v>
      </c>
      <c r="M2053" s="4">
        <v>1.8798758349533162E-2</v>
      </c>
      <c r="N2053" t="s">
        <v>242</v>
      </c>
      <c r="O2053" t="s">
        <v>381</v>
      </c>
      <c r="P2053" t="s">
        <v>382</v>
      </c>
      <c r="Q2053" t="s">
        <v>245</v>
      </c>
    </row>
    <row r="2054" spans="1:17" x14ac:dyDescent="0.25">
      <c r="A2054" t="s">
        <v>382</v>
      </c>
      <c r="B2054" t="s">
        <v>145</v>
      </c>
      <c r="C2054" s="4">
        <v>1.065054837050664E-3</v>
      </c>
      <c r="D2054" s="4">
        <v>1.065054837050664E-3</v>
      </c>
      <c r="E2054" s="4">
        <v>1.065054837050664E-3</v>
      </c>
      <c r="F2054" s="4">
        <v>1.065054837050664E-3</v>
      </c>
      <c r="G2054" s="4">
        <v>1.065054837050664E-3</v>
      </c>
      <c r="H2054" s="4">
        <v>1.065054837050664E-3</v>
      </c>
      <c r="I2054" s="4">
        <v>1.065054837050664E-3</v>
      </c>
      <c r="J2054" s="4">
        <v>1.065054837050664E-3</v>
      </c>
      <c r="K2054" s="4">
        <v>1.065054837050664E-3</v>
      </c>
      <c r="L2054" s="4">
        <v>1.065054837050664E-3</v>
      </c>
      <c r="M2054" s="4">
        <v>1.065054837050664E-3</v>
      </c>
      <c r="N2054" t="s">
        <v>242</v>
      </c>
      <c r="O2054" t="s">
        <v>381</v>
      </c>
      <c r="P2054" t="s">
        <v>382</v>
      </c>
      <c r="Q2054" t="s">
        <v>245</v>
      </c>
    </row>
    <row r="2055" spans="1:17" x14ac:dyDescent="0.25">
      <c r="A2055" t="s">
        <v>382</v>
      </c>
      <c r="B2055" t="s">
        <v>86</v>
      </c>
      <c r="C2055" s="4">
        <v>0.45620460332914842</v>
      </c>
      <c r="D2055" s="4">
        <v>0.45620460332914842</v>
      </c>
      <c r="E2055" s="4">
        <v>0.45620460332914842</v>
      </c>
      <c r="F2055" s="4">
        <v>0.45620460332914842</v>
      </c>
      <c r="G2055" s="4">
        <v>0.45620460332914842</v>
      </c>
      <c r="H2055" s="4">
        <v>0.45620460332914842</v>
      </c>
      <c r="I2055" s="4">
        <v>0.45620460332914842</v>
      </c>
      <c r="J2055" s="4">
        <v>0.45620460332914842</v>
      </c>
      <c r="K2055" s="4">
        <v>0.45620460332914842</v>
      </c>
      <c r="L2055" s="4">
        <v>0.45620460332914842</v>
      </c>
      <c r="M2055" s="4">
        <v>0.45620460332914842</v>
      </c>
      <c r="N2055" t="s">
        <v>242</v>
      </c>
      <c r="O2055" t="s">
        <v>381</v>
      </c>
      <c r="P2055" t="s">
        <v>382</v>
      </c>
      <c r="Q2055" t="s">
        <v>245</v>
      </c>
    </row>
    <row r="2056" spans="1:17" x14ac:dyDescent="0.25">
      <c r="A2056" t="s">
        <v>382</v>
      </c>
      <c r="B2056" t="s">
        <v>87</v>
      </c>
      <c r="C2056" s="4">
        <v>3.3859206013700199E-3</v>
      </c>
      <c r="D2056" s="4">
        <v>3.3859206013700199E-3</v>
      </c>
      <c r="E2056" s="4">
        <v>3.3859206013700199E-3</v>
      </c>
      <c r="F2056" s="4">
        <v>3.3859206013700199E-3</v>
      </c>
      <c r="G2056" s="4">
        <v>3.3859206013700199E-3</v>
      </c>
      <c r="H2056" s="4">
        <v>3.3859206013700199E-3</v>
      </c>
      <c r="I2056" s="4">
        <v>3.3859206013700199E-3</v>
      </c>
      <c r="J2056" s="4">
        <v>3.3859206013700199E-3</v>
      </c>
      <c r="K2056" s="4">
        <v>3.3859206013700199E-3</v>
      </c>
      <c r="L2056" s="4">
        <v>3.3859206013700199E-3</v>
      </c>
      <c r="M2056" s="4">
        <v>3.3859206013700199E-3</v>
      </c>
      <c r="N2056" t="s">
        <v>242</v>
      </c>
      <c r="O2056" t="s">
        <v>381</v>
      </c>
      <c r="P2056" t="s">
        <v>382</v>
      </c>
      <c r="Q2056" t="s">
        <v>245</v>
      </c>
    </row>
    <row r="2057" spans="1:17" x14ac:dyDescent="0.25">
      <c r="A2057" t="s">
        <v>382</v>
      </c>
      <c r="B2057" t="s">
        <v>190</v>
      </c>
      <c r="C2057" s="4">
        <v>7.5348655636121571E-4</v>
      </c>
      <c r="D2057" s="4">
        <v>7.5348655636121571E-4</v>
      </c>
      <c r="E2057" s="4">
        <v>7.5348655636121571E-4</v>
      </c>
      <c r="F2057" s="4">
        <v>7.5348655636121571E-4</v>
      </c>
      <c r="G2057" s="4">
        <v>7.5348655636121571E-4</v>
      </c>
      <c r="H2057" s="4">
        <v>7.5348655636121571E-4</v>
      </c>
      <c r="I2057" s="4">
        <v>7.5348655636121571E-4</v>
      </c>
      <c r="J2057" s="4">
        <v>7.5348655636121571E-4</v>
      </c>
      <c r="K2057" s="4">
        <v>7.5348655636121571E-4</v>
      </c>
      <c r="L2057" s="4">
        <v>7.5348655636121571E-4</v>
      </c>
      <c r="M2057" s="4">
        <v>7.5348655636121571E-4</v>
      </c>
      <c r="N2057" t="s">
        <v>242</v>
      </c>
      <c r="O2057" t="s">
        <v>381</v>
      </c>
      <c r="P2057" t="s">
        <v>382</v>
      </c>
      <c r="Q2057" t="s">
        <v>245</v>
      </c>
    </row>
    <row r="2058" spans="1:17" x14ac:dyDescent="0.25">
      <c r="A2058" t="s">
        <v>382</v>
      </c>
      <c r="B2058" t="s">
        <v>88</v>
      </c>
      <c r="C2058" s="4">
        <v>3.8946035086180982E-4</v>
      </c>
      <c r="D2058" s="4">
        <v>3.8946035086180982E-4</v>
      </c>
      <c r="E2058" s="4">
        <v>3.8946035086180982E-4</v>
      </c>
      <c r="F2058" s="4">
        <v>3.8946035086180982E-4</v>
      </c>
      <c r="G2058" s="4">
        <v>3.8946035086180982E-4</v>
      </c>
      <c r="H2058" s="4">
        <v>3.8946035086180982E-4</v>
      </c>
      <c r="I2058" s="4">
        <v>3.8946035086180982E-4</v>
      </c>
      <c r="J2058" s="4">
        <v>3.8946035086180982E-4</v>
      </c>
      <c r="K2058" s="4">
        <v>3.8946035086180982E-4</v>
      </c>
      <c r="L2058" s="4">
        <v>3.8946035086180982E-4</v>
      </c>
      <c r="M2058" s="4">
        <v>3.8946035086180982E-4</v>
      </c>
      <c r="N2058" t="s">
        <v>242</v>
      </c>
      <c r="O2058" t="s">
        <v>381</v>
      </c>
      <c r="P2058" t="s">
        <v>382</v>
      </c>
      <c r="Q2058" t="s">
        <v>245</v>
      </c>
    </row>
    <row r="2059" spans="1:17" x14ac:dyDescent="0.25">
      <c r="A2059" t="s">
        <v>382</v>
      </c>
      <c r="B2059" t="s">
        <v>160</v>
      </c>
      <c r="C2059" s="4">
        <v>3.97408521287561E-4</v>
      </c>
      <c r="D2059" s="4">
        <v>3.97408521287561E-4</v>
      </c>
      <c r="E2059" s="4">
        <v>3.97408521287561E-4</v>
      </c>
      <c r="F2059" s="4">
        <v>3.97408521287561E-4</v>
      </c>
      <c r="G2059" s="4">
        <v>3.97408521287561E-4</v>
      </c>
      <c r="H2059" s="4">
        <v>3.97408521287561E-4</v>
      </c>
      <c r="I2059" s="4">
        <v>3.97408521287561E-4</v>
      </c>
      <c r="J2059" s="4">
        <v>3.97408521287561E-4</v>
      </c>
      <c r="K2059" s="4">
        <v>3.97408521287561E-4</v>
      </c>
      <c r="L2059" s="4">
        <v>3.97408521287561E-4</v>
      </c>
      <c r="M2059" s="4">
        <v>3.97408521287561E-4</v>
      </c>
      <c r="N2059" t="s">
        <v>242</v>
      </c>
      <c r="O2059" t="s">
        <v>381</v>
      </c>
      <c r="P2059" t="s">
        <v>382</v>
      </c>
      <c r="Q2059" t="s">
        <v>245</v>
      </c>
    </row>
    <row r="2060" spans="1:17" x14ac:dyDescent="0.25">
      <c r="A2060" t="s">
        <v>382</v>
      </c>
      <c r="B2060" t="s">
        <v>217</v>
      </c>
      <c r="C2060" s="4">
        <v>3.3859206013700199E-3</v>
      </c>
      <c r="D2060" s="4">
        <v>3.3859206013700199E-3</v>
      </c>
      <c r="E2060" s="4">
        <v>3.3859206013700199E-3</v>
      </c>
      <c r="F2060" s="4">
        <v>3.3859206013700199E-3</v>
      </c>
      <c r="G2060" s="4">
        <v>3.3859206013700199E-3</v>
      </c>
      <c r="H2060" s="4">
        <v>3.3859206013700199E-3</v>
      </c>
      <c r="I2060" s="4">
        <v>3.3859206013700199E-3</v>
      </c>
      <c r="J2060" s="4">
        <v>3.3859206013700199E-3</v>
      </c>
      <c r="K2060" s="4">
        <v>3.3859206013700199E-3</v>
      </c>
      <c r="L2060" s="4">
        <v>3.3859206013700199E-3</v>
      </c>
      <c r="M2060" s="4">
        <v>3.3859206013700199E-3</v>
      </c>
      <c r="N2060" t="s">
        <v>242</v>
      </c>
      <c r="O2060" t="s">
        <v>381</v>
      </c>
      <c r="P2060" t="s">
        <v>382</v>
      </c>
      <c r="Q2060" t="s">
        <v>245</v>
      </c>
    </row>
    <row r="2061" spans="1:17" x14ac:dyDescent="0.25">
      <c r="A2061" t="s">
        <v>382</v>
      </c>
      <c r="B2061" t="s">
        <v>89</v>
      </c>
      <c r="C2061" s="4">
        <v>5.2457924809958055E-4</v>
      </c>
      <c r="D2061" s="4">
        <v>5.2457924809958055E-4</v>
      </c>
      <c r="E2061" s="4">
        <v>5.2457924809958055E-4</v>
      </c>
      <c r="F2061" s="4">
        <v>5.2457924809958055E-4</v>
      </c>
      <c r="G2061" s="4">
        <v>5.2457924809958055E-4</v>
      </c>
      <c r="H2061" s="4">
        <v>5.2457924809958055E-4</v>
      </c>
      <c r="I2061" s="4">
        <v>5.2457924809958055E-4</v>
      </c>
      <c r="J2061" s="4">
        <v>5.2457924809958055E-4</v>
      </c>
      <c r="K2061" s="4">
        <v>5.2457924809958055E-4</v>
      </c>
      <c r="L2061" s="4">
        <v>5.2457924809958055E-4</v>
      </c>
      <c r="M2061" s="4">
        <v>5.2457924809958055E-4</v>
      </c>
      <c r="N2061" t="s">
        <v>242</v>
      </c>
      <c r="O2061" t="s">
        <v>381</v>
      </c>
      <c r="P2061" t="s">
        <v>382</v>
      </c>
      <c r="Q2061" t="s">
        <v>245</v>
      </c>
    </row>
    <row r="2062" spans="1:17" x14ac:dyDescent="0.25">
      <c r="A2062" t="s">
        <v>382</v>
      </c>
      <c r="B2062" t="s">
        <v>128</v>
      </c>
      <c r="C2062" s="4">
        <v>2.0983169923983222E-3</v>
      </c>
      <c r="D2062" s="4">
        <v>2.0983169923983222E-3</v>
      </c>
      <c r="E2062" s="4">
        <v>2.0983169923983222E-3</v>
      </c>
      <c r="F2062" s="4">
        <v>2.0983169923983222E-3</v>
      </c>
      <c r="G2062" s="4">
        <v>2.0983169923983222E-3</v>
      </c>
      <c r="H2062" s="4">
        <v>2.0983169923983222E-3</v>
      </c>
      <c r="I2062" s="4">
        <v>2.0983169923983222E-3</v>
      </c>
      <c r="J2062" s="4">
        <v>2.0983169923983222E-3</v>
      </c>
      <c r="K2062" s="4">
        <v>2.0983169923983222E-3</v>
      </c>
      <c r="L2062" s="4">
        <v>2.0983169923983222E-3</v>
      </c>
      <c r="M2062" s="4">
        <v>2.0983169923983222E-3</v>
      </c>
      <c r="N2062" t="s">
        <v>242</v>
      </c>
      <c r="O2062" t="s">
        <v>381</v>
      </c>
      <c r="P2062" t="s">
        <v>382</v>
      </c>
      <c r="Q2062" t="s">
        <v>245</v>
      </c>
    </row>
    <row r="2063" spans="1:17" x14ac:dyDescent="0.25">
      <c r="A2063" t="s">
        <v>382</v>
      </c>
      <c r="B2063" t="s">
        <v>231</v>
      </c>
      <c r="C2063" s="4">
        <v>7.1771978944533518E-4</v>
      </c>
      <c r="D2063" s="4">
        <v>7.1771978944533518E-4</v>
      </c>
      <c r="E2063" s="4">
        <v>7.1771978944533518E-4</v>
      </c>
      <c r="F2063" s="4">
        <v>7.1771978944533518E-4</v>
      </c>
      <c r="G2063" s="4">
        <v>7.1771978944533518E-4</v>
      </c>
      <c r="H2063" s="4">
        <v>7.1771978944533518E-4</v>
      </c>
      <c r="I2063" s="4">
        <v>7.1771978944533518E-4</v>
      </c>
      <c r="J2063" s="4">
        <v>7.1771978944533518E-4</v>
      </c>
      <c r="K2063" s="4">
        <v>7.1771978944533518E-4</v>
      </c>
      <c r="L2063" s="4">
        <v>7.1771978944533518E-4</v>
      </c>
      <c r="M2063" s="4">
        <v>7.1771978944533518E-4</v>
      </c>
      <c r="N2063" t="s">
        <v>242</v>
      </c>
      <c r="O2063" t="s">
        <v>381</v>
      </c>
      <c r="P2063" t="s">
        <v>382</v>
      </c>
      <c r="Q2063" t="s">
        <v>245</v>
      </c>
    </row>
    <row r="2064" spans="1:17" x14ac:dyDescent="0.25">
      <c r="A2064" t="s">
        <v>382</v>
      </c>
      <c r="B2064" t="s">
        <v>91</v>
      </c>
      <c r="C2064" s="4">
        <v>5.4047558895108294E-3</v>
      </c>
      <c r="D2064" s="4">
        <v>5.4047558895108294E-3</v>
      </c>
      <c r="E2064" s="4">
        <v>5.4047558895108294E-3</v>
      </c>
      <c r="F2064" s="4">
        <v>5.4047558895108294E-3</v>
      </c>
      <c r="G2064" s="4">
        <v>5.4047558895108294E-3</v>
      </c>
      <c r="H2064" s="4">
        <v>5.4047558895108294E-3</v>
      </c>
      <c r="I2064" s="4">
        <v>5.4047558895108294E-3</v>
      </c>
      <c r="J2064" s="4">
        <v>5.4047558895108294E-3</v>
      </c>
      <c r="K2064" s="4">
        <v>5.4047558895108294E-3</v>
      </c>
      <c r="L2064" s="4">
        <v>5.4047558895108294E-3</v>
      </c>
      <c r="M2064" s="4">
        <v>5.4047558895108294E-3</v>
      </c>
      <c r="N2064" t="s">
        <v>242</v>
      </c>
      <c r="O2064" t="s">
        <v>381</v>
      </c>
      <c r="P2064" t="s">
        <v>382</v>
      </c>
      <c r="Q2064" t="s">
        <v>245</v>
      </c>
    </row>
    <row r="2065" spans="1:17" x14ac:dyDescent="0.25">
      <c r="A2065" t="s">
        <v>382</v>
      </c>
      <c r="B2065" t="s">
        <v>117</v>
      </c>
      <c r="C2065" s="4">
        <v>2.607009437450911E-2</v>
      </c>
      <c r="D2065" s="4">
        <v>2.607009437450911E-2</v>
      </c>
      <c r="E2065" s="4">
        <v>2.607009437450911E-2</v>
      </c>
      <c r="F2065" s="4">
        <v>2.607009437450911E-2</v>
      </c>
      <c r="G2065" s="4">
        <v>2.607009437450911E-2</v>
      </c>
      <c r="H2065" s="4">
        <v>2.607009437450911E-2</v>
      </c>
      <c r="I2065" s="4">
        <v>2.607009437450911E-2</v>
      </c>
      <c r="J2065" s="4">
        <v>2.607009437450911E-2</v>
      </c>
      <c r="K2065" s="4">
        <v>2.607009437450911E-2</v>
      </c>
      <c r="L2065" s="4">
        <v>2.607009437450911E-2</v>
      </c>
      <c r="M2065" s="4">
        <v>2.607009437450911E-2</v>
      </c>
      <c r="N2065" t="s">
        <v>242</v>
      </c>
      <c r="O2065" t="s">
        <v>381</v>
      </c>
      <c r="P2065" t="s">
        <v>382</v>
      </c>
      <c r="Q2065" t="s">
        <v>245</v>
      </c>
    </row>
    <row r="2066" spans="1:17" x14ac:dyDescent="0.25">
      <c r="A2066" t="s">
        <v>382</v>
      </c>
      <c r="B2066" t="s">
        <v>92</v>
      </c>
      <c r="C2066" s="4">
        <v>2.8305024520185239E-4</v>
      </c>
      <c r="D2066" s="4">
        <v>2.8305024520185239E-4</v>
      </c>
      <c r="E2066" s="4">
        <v>2.8305024520185239E-4</v>
      </c>
      <c r="F2066" s="4">
        <v>2.8305024520185239E-4</v>
      </c>
      <c r="G2066" s="4">
        <v>2.8305024520185239E-4</v>
      </c>
      <c r="H2066" s="4">
        <v>2.8305024520185239E-4</v>
      </c>
      <c r="I2066" s="4">
        <v>2.8305024520185239E-4</v>
      </c>
      <c r="J2066" s="4">
        <v>2.8305024520185239E-4</v>
      </c>
      <c r="K2066" s="4">
        <v>2.8305024520185239E-4</v>
      </c>
      <c r="L2066" s="4">
        <v>2.8305024520185239E-4</v>
      </c>
      <c r="M2066" s="4">
        <v>2.8305024520185239E-4</v>
      </c>
      <c r="N2066" t="s">
        <v>242</v>
      </c>
      <c r="O2066" t="s">
        <v>381</v>
      </c>
      <c r="P2066" t="s">
        <v>382</v>
      </c>
      <c r="Q2066" t="s">
        <v>245</v>
      </c>
    </row>
    <row r="2067" spans="1:17" x14ac:dyDescent="0.25">
      <c r="A2067" t="s">
        <v>382</v>
      </c>
      <c r="B2067" t="s">
        <v>93</v>
      </c>
      <c r="C2067" s="4">
        <v>2.2413840600618439E-3</v>
      </c>
      <c r="D2067" s="4">
        <v>2.2413840600618439E-3</v>
      </c>
      <c r="E2067" s="4">
        <v>2.2413840600618439E-3</v>
      </c>
      <c r="F2067" s="4">
        <v>2.2413840600618439E-3</v>
      </c>
      <c r="G2067" s="4">
        <v>2.2413840600618439E-3</v>
      </c>
      <c r="H2067" s="4">
        <v>2.2413840600618439E-3</v>
      </c>
      <c r="I2067" s="4">
        <v>2.2413840600618439E-3</v>
      </c>
      <c r="J2067" s="4">
        <v>2.2413840600618439E-3</v>
      </c>
      <c r="K2067" s="4">
        <v>2.2413840600618439E-3</v>
      </c>
      <c r="L2067" s="4">
        <v>2.2413840600618439E-3</v>
      </c>
      <c r="M2067" s="4">
        <v>2.2413840600618439E-3</v>
      </c>
      <c r="N2067" t="s">
        <v>242</v>
      </c>
      <c r="O2067" t="s">
        <v>381</v>
      </c>
      <c r="P2067" t="s">
        <v>382</v>
      </c>
      <c r="Q2067" t="s">
        <v>245</v>
      </c>
    </row>
    <row r="2068" spans="1:17" x14ac:dyDescent="0.25">
      <c r="A2068" t="s">
        <v>382</v>
      </c>
      <c r="B2068" t="s">
        <v>196</v>
      </c>
      <c r="C2068" s="4">
        <v>9.37884110238644E-4</v>
      </c>
      <c r="D2068" s="4">
        <v>9.37884110238644E-4</v>
      </c>
      <c r="E2068" s="4">
        <v>9.37884110238644E-4</v>
      </c>
      <c r="F2068" s="4">
        <v>9.37884110238644E-4</v>
      </c>
      <c r="G2068" s="4">
        <v>9.37884110238644E-4</v>
      </c>
      <c r="H2068" s="4">
        <v>9.37884110238644E-4</v>
      </c>
      <c r="I2068" s="4">
        <v>9.37884110238644E-4</v>
      </c>
      <c r="J2068" s="4">
        <v>9.37884110238644E-4</v>
      </c>
      <c r="K2068" s="4">
        <v>9.37884110238644E-4</v>
      </c>
      <c r="L2068" s="4">
        <v>9.37884110238644E-4</v>
      </c>
      <c r="M2068" s="4">
        <v>9.37884110238644E-4</v>
      </c>
      <c r="N2068" t="s">
        <v>242</v>
      </c>
      <c r="O2068" t="s">
        <v>381</v>
      </c>
      <c r="P2068" t="s">
        <v>382</v>
      </c>
      <c r="Q2068" t="s">
        <v>245</v>
      </c>
    </row>
    <row r="2069" spans="1:17" x14ac:dyDescent="0.25">
      <c r="A2069" t="s">
        <v>382</v>
      </c>
      <c r="B2069" t="s">
        <v>197</v>
      </c>
      <c r="C2069" s="4">
        <v>4.5304571426781949E-4</v>
      </c>
      <c r="D2069" s="4">
        <v>4.5304571426781949E-4</v>
      </c>
      <c r="E2069" s="4">
        <v>4.5304571426781949E-4</v>
      </c>
      <c r="F2069" s="4">
        <v>4.5304571426781949E-4</v>
      </c>
      <c r="G2069" s="4">
        <v>4.5304571426781949E-4</v>
      </c>
      <c r="H2069" s="4">
        <v>4.5304571426781949E-4</v>
      </c>
      <c r="I2069" s="4">
        <v>4.5304571426781949E-4</v>
      </c>
      <c r="J2069" s="4">
        <v>4.5304571426781949E-4</v>
      </c>
      <c r="K2069" s="4">
        <v>4.5304571426781949E-4</v>
      </c>
      <c r="L2069" s="4">
        <v>4.5304571426781949E-4</v>
      </c>
      <c r="M2069" s="4">
        <v>4.5304571426781949E-4</v>
      </c>
      <c r="N2069" t="s">
        <v>242</v>
      </c>
      <c r="O2069" t="s">
        <v>381</v>
      </c>
      <c r="P2069" t="s">
        <v>382</v>
      </c>
      <c r="Q2069" t="s">
        <v>245</v>
      </c>
    </row>
    <row r="2070" spans="1:17" x14ac:dyDescent="0.25">
      <c r="A2070" t="s">
        <v>382</v>
      </c>
      <c r="B2070" t="s">
        <v>97</v>
      </c>
      <c r="C2070" s="4">
        <v>4.8581729264045997E-2</v>
      </c>
      <c r="D2070" s="4">
        <v>4.8581729264045997E-2</v>
      </c>
      <c r="E2070" s="4">
        <v>4.8581729264045997E-2</v>
      </c>
      <c r="F2070" s="4">
        <v>4.8581729264045997E-2</v>
      </c>
      <c r="G2070" s="4">
        <v>4.8581729264045997E-2</v>
      </c>
      <c r="H2070" s="4">
        <v>4.8581729264045997E-2</v>
      </c>
      <c r="I2070" s="4">
        <v>4.8581729264045997E-2</v>
      </c>
      <c r="J2070" s="4">
        <v>4.8581729264045997E-2</v>
      </c>
      <c r="K2070" s="4">
        <v>4.8581729264045997E-2</v>
      </c>
      <c r="L2070" s="4">
        <v>4.8581729264045997E-2</v>
      </c>
      <c r="M2070" s="4">
        <v>4.8581729264045997E-2</v>
      </c>
      <c r="N2070" t="s">
        <v>242</v>
      </c>
      <c r="O2070" t="s">
        <v>381</v>
      </c>
      <c r="P2070" t="s">
        <v>382</v>
      </c>
      <c r="Q2070" t="s">
        <v>245</v>
      </c>
    </row>
    <row r="2071" spans="1:17" x14ac:dyDescent="0.25">
      <c r="A2071" t="s">
        <v>382</v>
      </c>
      <c r="B2071" t="s">
        <v>98</v>
      </c>
      <c r="C2071" s="4">
        <v>4.1489449622421374E-3</v>
      </c>
      <c r="D2071" s="4">
        <v>4.1489449622421374E-3</v>
      </c>
      <c r="E2071" s="4">
        <v>4.1489449622421374E-3</v>
      </c>
      <c r="F2071" s="4">
        <v>4.1489449622421374E-3</v>
      </c>
      <c r="G2071" s="4">
        <v>4.1489449622421374E-3</v>
      </c>
      <c r="H2071" s="4">
        <v>4.1489449622421374E-3</v>
      </c>
      <c r="I2071" s="4">
        <v>4.1489449622421374E-3</v>
      </c>
      <c r="J2071" s="4">
        <v>4.1489449622421374E-3</v>
      </c>
      <c r="K2071" s="4">
        <v>4.1489449622421374E-3</v>
      </c>
      <c r="L2071" s="4">
        <v>4.1489449622421374E-3</v>
      </c>
      <c r="M2071" s="4">
        <v>4.1489449622421374E-3</v>
      </c>
      <c r="N2071" t="s">
        <v>242</v>
      </c>
      <c r="O2071" t="s">
        <v>381</v>
      </c>
      <c r="P2071" t="s">
        <v>382</v>
      </c>
      <c r="Q2071" t="s">
        <v>245</v>
      </c>
    </row>
    <row r="2072" spans="1:17" x14ac:dyDescent="0.25">
      <c r="A2072" t="s">
        <v>382</v>
      </c>
      <c r="B2072" t="s">
        <v>99</v>
      </c>
      <c r="C2072" s="4">
        <v>9.7921459645255032E-3</v>
      </c>
      <c r="D2072" s="4">
        <v>9.7921459645255032E-3</v>
      </c>
      <c r="E2072" s="4">
        <v>9.7921459645255032E-3</v>
      </c>
      <c r="F2072" s="4">
        <v>9.7921459645255032E-3</v>
      </c>
      <c r="G2072" s="4">
        <v>9.7921459645255032E-3</v>
      </c>
      <c r="H2072" s="4">
        <v>9.7921459645255032E-3</v>
      </c>
      <c r="I2072" s="4">
        <v>9.7921459645255032E-3</v>
      </c>
      <c r="J2072" s="4">
        <v>9.7921459645255032E-3</v>
      </c>
      <c r="K2072" s="4">
        <v>9.7921459645255032E-3</v>
      </c>
      <c r="L2072" s="4">
        <v>9.7921459645255032E-3</v>
      </c>
      <c r="M2072" s="4">
        <v>9.7921459645255032E-3</v>
      </c>
      <c r="N2072" t="s">
        <v>242</v>
      </c>
      <c r="O2072" t="s">
        <v>381</v>
      </c>
      <c r="P2072" t="s">
        <v>382</v>
      </c>
      <c r="Q2072" t="s">
        <v>245</v>
      </c>
    </row>
    <row r="2073" spans="1:17" x14ac:dyDescent="0.25">
      <c r="A2073" t="s">
        <v>382</v>
      </c>
      <c r="B2073" t="s">
        <v>118</v>
      </c>
      <c r="C2073" s="4">
        <v>1.1890462956923821E-3</v>
      </c>
      <c r="D2073" s="4">
        <v>1.1890462956923821E-3</v>
      </c>
      <c r="E2073" s="4">
        <v>1.1890462956923821E-3</v>
      </c>
      <c r="F2073" s="4">
        <v>1.1890462956923821E-3</v>
      </c>
      <c r="G2073" s="4">
        <v>1.1890462956923821E-3</v>
      </c>
      <c r="H2073" s="4">
        <v>1.1890462956923821E-3</v>
      </c>
      <c r="I2073" s="4">
        <v>1.1890462956923821E-3</v>
      </c>
      <c r="J2073" s="4">
        <v>1.1890462956923821E-3</v>
      </c>
      <c r="K2073" s="4">
        <v>1.1890462956923821E-3</v>
      </c>
      <c r="L2073" s="4">
        <v>1.1890462956923821E-3</v>
      </c>
      <c r="M2073" s="4">
        <v>1.1890462956923821E-3</v>
      </c>
      <c r="N2073" t="s">
        <v>242</v>
      </c>
      <c r="O2073" t="s">
        <v>381</v>
      </c>
      <c r="P2073" t="s">
        <v>382</v>
      </c>
      <c r="Q2073" t="s">
        <v>245</v>
      </c>
    </row>
    <row r="2074" spans="1:17" x14ac:dyDescent="0.25">
      <c r="A2074" t="s">
        <v>382</v>
      </c>
      <c r="B2074" t="s">
        <v>222</v>
      </c>
      <c r="C2074" s="4">
        <v>2.0012380388181972E-3</v>
      </c>
      <c r="D2074" s="4">
        <v>2.0012380388181972E-3</v>
      </c>
      <c r="E2074" s="4">
        <v>2.0012380388181972E-3</v>
      </c>
      <c r="F2074" s="4">
        <v>2.0012380388181972E-3</v>
      </c>
      <c r="G2074" s="4">
        <v>2.0012380388181972E-3</v>
      </c>
      <c r="H2074" s="4">
        <v>2.0012380388181972E-3</v>
      </c>
      <c r="I2074" s="4">
        <v>2.0012380388181972E-3</v>
      </c>
      <c r="J2074" s="4">
        <v>2.0012380388181972E-3</v>
      </c>
      <c r="K2074" s="4">
        <v>2.0012380388181972E-3</v>
      </c>
      <c r="L2074" s="4">
        <v>2.0012380388181972E-3</v>
      </c>
      <c r="M2074" s="4">
        <v>2.0012380388181972E-3</v>
      </c>
      <c r="N2074" t="s">
        <v>242</v>
      </c>
      <c r="O2074" t="s">
        <v>381</v>
      </c>
      <c r="P2074" t="s">
        <v>382</v>
      </c>
      <c r="Q2074" t="s">
        <v>245</v>
      </c>
    </row>
    <row r="2075" spans="1:17" x14ac:dyDescent="0.25">
      <c r="A2075" t="s">
        <v>382</v>
      </c>
      <c r="B2075" t="s">
        <v>182</v>
      </c>
      <c r="C2075" s="4">
        <v>1.289670133282393E-2</v>
      </c>
      <c r="D2075" s="4">
        <v>1.289670133282393E-2</v>
      </c>
      <c r="E2075" s="4">
        <v>1.289670133282393E-2</v>
      </c>
      <c r="F2075" s="4">
        <v>1.289670133282393E-2</v>
      </c>
      <c r="G2075" s="4">
        <v>1.289670133282393E-2</v>
      </c>
      <c r="H2075" s="4">
        <v>1.289670133282393E-2</v>
      </c>
      <c r="I2075" s="4">
        <v>1.289670133282393E-2</v>
      </c>
      <c r="J2075" s="4">
        <v>1.289670133282393E-2</v>
      </c>
      <c r="K2075" s="4">
        <v>1.289670133282393E-2</v>
      </c>
      <c r="L2075" s="4">
        <v>1.289670133282393E-2</v>
      </c>
      <c r="M2075" s="4">
        <v>1.289670133282393E-2</v>
      </c>
      <c r="N2075" t="s">
        <v>242</v>
      </c>
      <c r="O2075" t="s">
        <v>381</v>
      </c>
      <c r="P2075" t="s">
        <v>382</v>
      </c>
      <c r="Q2075" t="s">
        <v>245</v>
      </c>
    </row>
    <row r="2076" spans="1:17" x14ac:dyDescent="0.25">
      <c r="A2076" t="s">
        <v>382</v>
      </c>
      <c r="B2076" t="s">
        <v>119</v>
      </c>
      <c r="C2076" s="4">
        <v>1.9085146826313831E-2</v>
      </c>
      <c r="D2076" s="4">
        <v>1.9085146826313831E-2</v>
      </c>
      <c r="E2076" s="4">
        <v>1.9085146826313831E-2</v>
      </c>
      <c r="F2076" s="4">
        <v>1.9085146826313831E-2</v>
      </c>
      <c r="G2076" s="4">
        <v>1.9085146826313831E-2</v>
      </c>
      <c r="H2076" s="4">
        <v>1.9085146826313831E-2</v>
      </c>
      <c r="I2076" s="4">
        <v>1.9085146826313831E-2</v>
      </c>
      <c r="J2076" s="4">
        <v>1.9085146826313831E-2</v>
      </c>
      <c r="K2076" s="4">
        <v>1.9085146826313831E-2</v>
      </c>
      <c r="L2076" s="4">
        <v>1.9085146826313831E-2</v>
      </c>
      <c r="M2076" s="4">
        <v>1.9085146826313831E-2</v>
      </c>
      <c r="N2076" t="s">
        <v>242</v>
      </c>
      <c r="O2076" t="s">
        <v>381</v>
      </c>
      <c r="P2076" t="s">
        <v>382</v>
      </c>
      <c r="Q2076" t="s">
        <v>245</v>
      </c>
    </row>
    <row r="2077" spans="1:17" x14ac:dyDescent="0.25">
      <c r="A2077" t="s">
        <v>382</v>
      </c>
      <c r="B2077" t="s">
        <v>102</v>
      </c>
      <c r="C2077" s="4">
        <v>1.0461477292418871E-2</v>
      </c>
      <c r="D2077" s="4">
        <v>1.0461477292418871E-2</v>
      </c>
      <c r="E2077" s="4">
        <v>1.0461477292418871E-2</v>
      </c>
      <c r="F2077" s="4">
        <v>1.0461477292418871E-2</v>
      </c>
      <c r="G2077" s="4">
        <v>1.0461477292418871E-2</v>
      </c>
      <c r="H2077" s="4">
        <v>1.0461477292418871E-2</v>
      </c>
      <c r="I2077" s="4">
        <v>1.0461477292418871E-2</v>
      </c>
      <c r="J2077" s="4">
        <v>1.0461477292418871E-2</v>
      </c>
      <c r="K2077" s="4">
        <v>1.0461477292418871E-2</v>
      </c>
      <c r="L2077" s="4">
        <v>1.0461477292418871E-2</v>
      </c>
      <c r="M2077" s="4">
        <v>1.0461477292418871E-2</v>
      </c>
      <c r="N2077" t="s">
        <v>242</v>
      </c>
      <c r="O2077" t="s">
        <v>381</v>
      </c>
      <c r="P2077" t="s">
        <v>382</v>
      </c>
      <c r="Q2077" t="s">
        <v>245</v>
      </c>
    </row>
    <row r="2078" spans="1:17" x14ac:dyDescent="0.25">
      <c r="A2078" t="s">
        <v>382</v>
      </c>
      <c r="B2078" t="s">
        <v>198</v>
      </c>
      <c r="C2078" s="4">
        <v>8.5840240598113174E-5</v>
      </c>
      <c r="D2078" s="4">
        <v>8.5840240598113174E-5</v>
      </c>
      <c r="E2078" s="4">
        <v>8.5840240598113174E-5</v>
      </c>
      <c r="F2078" s="4">
        <v>8.5840240598113174E-5</v>
      </c>
      <c r="G2078" s="4">
        <v>8.5840240598113174E-5</v>
      </c>
      <c r="H2078" s="4">
        <v>8.5840240598113174E-5</v>
      </c>
      <c r="I2078" s="4">
        <v>8.5840240598113174E-5</v>
      </c>
      <c r="J2078" s="4">
        <v>8.5840240598113174E-5</v>
      </c>
      <c r="K2078" s="4">
        <v>8.5840240598113174E-5</v>
      </c>
      <c r="L2078" s="4">
        <v>8.5840240598113174E-5</v>
      </c>
      <c r="M2078" s="4">
        <v>8.5840240598113174E-5</v>
      </c>
      <c r="N2078" t="s">
        <v>242</v>
      </c>
      <c r="O2078" t="s">
        <v>381</v>
      </c>
      <c r="P2078" t="s">
        <v>382</v>
      </c>
      <c r="Q2078" t="s">
        <v>245</v>
      </c>
    </row>
    <row r="2079" spans="1:17" x14ac:dyDescent="0.25">
      <c r="A2079" t="s">
        <v>382</v>
      </c>
      <c r="B2079" t="s">
        <v>148</v>
      </c>
      <c r="C2079" s="4">
        <v>6.343593780200564E-2</v>
      </c>
      <c r="D2079" s="4">
        <v>6.343593780200564E-2</v>
      </c>
      <c r="E2079" s="4">
        <v>6.343593780200564E-2</v>
      </c>
      <c r="F2079" s="4">
        <v>6.343593780200564E-2</v>
      </c>
      <c r="G2079" s="4">
        <v>6.343593780200564E-2</v>
      </c>
      <c r="H2079" s="4">
        <v>6.343593780200564E-2</v>
      </c>
      <c r="I2079" s="4">
        <v>6.343593780200564E-2</v>
      </c>
      <c r="J2079" s="4">
        <v>6.343593780200564E-2</v>
      </c>
      <c r="K2079" s="4">
        <v>6.343593780200564E-2</v>
      </c>
      <c r="L2079" s="4">
        <v>6.343593780200564E-2</v>
      </c>
      <c r="M2079" s="4">
        <v>6.343593780200564E-2</v>
      </c>
      <c r="N2079" t="s">
        <v>242</v>
      </c>
      <c r="O2079" t="s">
        <v>381</v>
      </c>
      <c r="P2079" t="s">
        <v>382</v>
      </c>
      <c r="Q2079" t="s">
        <v>245</v>
      </c>
    </row>
    <row r="2080" spans="1:17" x14ac:dyDescent="0.25">
      <c r="A2080" t="s">
        <v>382</v>
      </c>
      <c r="B2080" t="s">
        <v>149</v>
      </c>
      <c r="C2080" s="4">
        <v>2.066524310695317E-4</v>
      </c>
      <c r="D2080" s="4">
        <v>2.066524310695317E-4</v>
      </c>
      <c r="E2080" s="4">
        <v>2.066524310695317E-4</v>
      </c>
      <c r="F2080" s="4">
        <v>2.066524310695317E-4</v>
      </c>
      <c r="G2080" s="4">
        <v>2.066524310695317E-4</v>
      </c>
      <c r="H2080" s="4">
        <v>2.066524310695317E-4</v>
      </c>
      <c r="I2080" s="4">
        <v>2.066524310695317E-4</v>
      </c>
      <c r="J2080" s="4">
        <v>2.066524310695317E-4</v>
      </c>
      <c r="K2080" s="4">
        <v>2.066524310695317E-4</v>
      </c>
      <c r="L2080" s="4">
        <v>2.066524310695317E-4</v>
      </c>
      <c r="M2080" s="4">
        <v>2.066524310695317E-4</v>
      </c>
      <c r="N2080" t="s">
        <v>242</v>
      </c>
      <c r="O2080" t="s">
        <v>381</v>
      </c>
      <c r="P2080" t="s">
        <v>382</v>
      </c>
      <c r="Q2080" t="s">
        <v>245</v>
      </c>
    </row>
    <row r="2081" spans="1:17" x14ac:dyDescent="0.25">
      <c r="A2081" t="s">
        <v>382</v>
      </c>
      <c r="B2081" t="s">
        <v>232</v>
      </c>
      <c r="C2081" s="4">
        <v>1.36549567914406E-3</v>
      </c>
      <c r="D2081" s="4">
        <v>1.36549567914406E-3</v>
      </c>
      <c r="E2081" s="4">
        <v>1.36549567914406E-3</v>
      </c>
      <c r="F2081" s="4">
        <v>1.36549567914406E-3</v>
      </c>
      <c r="G2081" s="4">
        <v>1.36549567914406E-3</v>
      </c>
      <c r="H2081" s="4">
        <v>1.36549567914406E-3</v>
      </c>
      <c r="I2081" s="4">
        <v>1.36549567914406E-3</v>
      </c>
      <c r="J2081" s="4">
        <v>1.36549567914406E-3</v>
      </c>
      <c r="K2081" s="4">
        <v>1.36549567914406E-3</v>
      </c>
      <c r="L2081" s="4">
        <v>1.36549567914406E-3</v>
      </c>
      <c r="M2081" s="4">
        <v>1.36549567914406E-3</v>
      </c>
      <c r="N2081" t="s">
        <v>242</v>
      </c>
      <c r="O2081" t="s">
        <v>381</v>
      </c>
      <c r="P2081" t="s">
        <v>382</v>
      </c>
      <c r="Q2081" t="s">
        <v>245</v>
      </c>
    </row>
    <row r="2082" spans="1:17" x14ac:dyDescent="0.25">
      <c r="A2082" t="s">
        <v>382</v>
      </c>
      <c r="B2082" t="s">
        <v>103</v>
      </c>
      <c r="C2082" s="4">
        <v>2.559310877091893E-3</v>
      </c>
      <c r="D2082" s="4">
        <v>2.559310877091893E-3</v>
      </c>
      <c r="E2082" s="4">
        <v>2.559310877091893E-3</v>
      </c>
      <c r="F2082" s="4">
        <v>2.559310877091893E-3</v>
      </c>
      <c r="G2082" s="4">
        <v>2.559310877091893E-3</v>
      </c>
      <c r="H2082" s="4">
        <v>2.559310877091893E-3</v>
      </c>
      <c r="I2082" s="4">
        <v>2.559310877091893E-3</v>
      </c>
      <c r="J2082" s="4">
        <v>2.559310877091893E-3</v>
      </c>
      <c r="K2082" s="4">
        <v>2.559310877091893E-3</v>
      </c>
      <c r="L2082" s="4">
        <v>2.559310877091893E-3</v>
      </c>
      <c r="M2082" s="4">
        <v>2.559310877091893E-3</v>
      </c>
      <c r="N2082" t="s">
        <v>242</v>
      </c>
      <c r="O2082" t="s">
        <v>381</v>
      </c>
      <c r="P2082" t="s">
        <v>382</v>
      </c>
      <c r="Q2082" t="s">
        <v>245</v>
      </c>
    </row>
    <row r="2083" spans="1:17" x14ac:dyDescent="0.25">
      <c r="A2083" t="s">
        <v>382</v>
      </c>
      <c r="B2083" t="s">
        <v>150</v>
      </c>
      <c r="C2083" s="4">
        <v>3.4004673428832302E-2</v>
      </c>
      <c r="D2083" s="4">
        <v>3.4004673428832302E-2</v>
      </c>
      <c r="E2083" s="4">
        <v>3.4004673428832302E-2</v>
      </c>
      <c r="F2083" s="4">
        <v>3.4004673428832302E-2</v>
      </c>
      <c r="G2083" s="4">
        <v>3.4004673428832302E-2</v>
      </c>
      <c r="H2083" s="4">
        <v>3.4004673428832302E-2</v>
      </c>
      <c r="I2083" s="4">
        <v>3.4004673428832302E-2</v>
      </c>
      <c r="J2083" s="4">
        <v>3.4004673428832302E-2</v>
      </c>
      <c r="K2083" s="4">
        <v>3.4004673428832302E-2</v>
      </c>
      <c r="L2083" s="4">
        <v>3.4004673428832302E-2</v>
      </c>
      <c r="M2083" s="4">
        <v>3.4004673428832302E-2</v>
      </c>
      <c r="N2083" t="s">
        <v>242</v>
      </c>
      <c r="O2083" t="s">
        <v>381</v>
      </c>
      <c r="P2083" t="s">
        <v>382</v>
      </c>
      <c r="Q2083" t="s">
        <v>245</v>
      </c>
    </row>
    <row r="2084" spans="1:17" x14ac:dyDescent="0.25">
      <c r="A2084" t="s">
        <v>382</v>
      </c>
      <c r="B2084" t="s">
        <v>161</v>
      </c>
      <c r="C2084" s="4">
        <v>6.0406095235709272E-4</v>
      </c>
      <c r="D2084" s="4">
        <v>6.0406095235709272E-4</v>
      </c>
      <c r="E2084" s="4">
        <v>6.0406095235709272E-4</v>
      </c>
      <c r="F2084" s="4">
        <v>6.0406095235709272E-4</v>
      </c>
      <c r="G2084" s="4">
        <v>6.0406095235709272E-4</v>
      </c>
      <c r="H2084" s="4">
        <v>6.0406095235709272E-4</v>
      </c>
      <c r="I2084" s="4">
        <v>6.0406095235709272E-4</v>
      </c>
      <c r="J2084" s="4">
        <v>6.0406095235709272E-4</v>
      </c>
      <c r="K2084" s="4">
        <v>6.0406095235709272E-4</v>
      </c>
      <c r="L2084" s="4">
        <v>6.0406095235709272E-4</v>
      </c>
      <c r="M2084" s="4">
        <v>6.0406095235709272E-4</v>
      </c>
      <c r="N2084" t="s">
        <v>242</v>
      </c>
      <c r="O2084" t="s">
        <v>381</v>
      </c>
      <c r="P2084" t="s">
        <v>382</v>
      </c>
      <c r="Q2084" t="s">
        <v>245</v>
      </c>
    </row>
    <row r="2085" spans="1:17" x14ac:dyDescent="0.25">
      <c r="A2085" t="s">
        <v>382</v>
      </c>
      <c r="B2085" t="s">
        <v>105</v>
      </c>
      <c r="C2085" s="4">
        <v>3.1772016459897932E-4</v>
      </c>
      <c r="D2085" s="4">
        <v>3.1772016459897932E-4</v>
      </c>
      <c r="E2085" s="4">
        <v>3.1772016459897932E-4</v>
      </c>
      <c r="F2085" s="4">
        <v>3.1772016459897932E-4</v>
      </c>
      <c r="G2085" s="4">
        <v>3.1772016459897932E-4</v>
      </c>
      <c r="H2085" s="4">
        <v>3.1772016459897932E-4</v>
      </c>
      <c r="I2085" s="4">
        <v>3.1772016459897932E-4</v>
      </c>
      <c r="J2085" s="4">
        <v>3.1772016459897932E-4</v>
      </c>
      <c r="K2085" s="4">
        <v>3.1772016459897932E-4</v>
      </c>
      <c r="L2085" s="4">
        <v>3.1772016459897932E-4</v>
      </c>
      <c r="M2085" s="4">
        <v>3.1772016459897932E-4</v>
      </c>
      <c r="N2085" t="s">
        <v>242</v>
      </c>
      <c r="O2085" t="s">
        <v>381</v>
      </c>
      <c r="P2085" t="s">
        <v>382</v>
      </c>
      <c r="Q2085" t="s">
        <v>245</v>
      </c>
    </row>
    <row r="2086" spans="1:17" x14ac:dyDescent="0.25">
      <c r="A2086" t="s">
        <v>382</v>
      </c>
      <c r="B2086" t="s">
        <v>174</v>
      </c>
      <c r="C2086" s="4">
        <v>8.8542618542868589E-4</v>
      </c>
      <c r="D2086" s="4">
        <v>8.8542618542868589E-4</v>
      </c>
      <c r="E2086" s="4">
        <v>8.8542618542868589E-4</v>
      </c>
      <c r="F2086" s="4">
        <v>8.8542618542868589E-4</v>
      </c>
      <c r="G2086" s="4">
        <v>8.8542618542868589E-4</v>
      </c>
      <c r="H2086" s="4">
        <v>8.8542618542868589E-4</v>
      </c>
      <c r="I2086" s="4">
        <v>8.8542618542868589E-4</v>
      </c>
      <c r="J2086" s="4">
        <v>8.8542618542868589E-4</v>
      </c>
      <c r="K2086" s="4">
        <v>8.8542618542868589E-4</v>
      </c>
      <c r="L2086" s="4">
        <v>8.8542618542868589E-4</v>
      </c>
      <c r="M2086" s="4">
        <v>8.8542618542868589E-4</v>
      </c>
      <c r="N2086" t="s">
        <v>242</v>
      </c>
      <c r="O2086" t="s">
        <v>381</v>
      </c>
      <c r="P2086" t="s">
        <v>382</v>
      </c>
      <c r="Q2086" t="s">
        <v>245</v>
      </c>
    </row>
    <row r="2087" spans="1:17" x14ac:dyDescent="0.25">
      <c r="A2087" t="s">
        <v>382</v>
      </c>
      <c r="B2087" t="s">
        <v>130</v>
      </c>
      <c r="C2087" s="4">
        <v>2.797755989864429E-3</v>
      </c>
      <c r="D2087" s="4">
        <v>2.797755989864429E-3</v>
      </c>
      <c r="E2087" s="4">
        <v>2.797755989864429E-3</v>
      </c>
      <c r="F2087" s="4">
        <v>2.797755989864429E-3</v>
      </c>
      <c r="G2087" s="4">
        <v>2.797755989864429E-3</v>
      </c>
      <c r="H2087" s="4">
        <v>2.797755989864429E-3</v>
      </c>
      <c r="I2087" s="4">
        <v>2.797755989864429E-3</v>
      </c>
      <c r="J2087" s="4">
        <v>2.797755989864429E-3</v>
      </c>
      <c r="K2087" s="4">
        <v>2.797755989864429E-3</v>
      </c>
      <c r="L2087" s="4">
        <v>2.797755989864429E-3</v>
      </c>
      <c r="M2087" s="4">
        <v>2.797755989864429E-3</v>
      </c>
      <c r="N2087" t="s">
        <v>242</v>
      </c>
      <c r="O2087" t="s">
        <v>381</v>
      </c>
      <c r="P2087" t="s">
        <v>382</v>
      </c>
      <c r="Q2087" t="s">
        <v>245</v>
      </c>
    </row>
    <row r="2088" spans="1:17" x14ac:dyDescent="0.25">
      <c r="A2088" t="s">
        <v>382</v>
      </c>
      <c r="B2088" t="s">
        <v>203</v>
      </c>
      <c r="C2088" s="4">
        <v>9.6967679194164881E-4</v>
      </c>
      <c r="D2088" s="4">
        <v>9.6967679194164881E-4</v>
      </c>
      <c r="E2088" s="4">
        <v>9.6967679194164881E-4</v>
      </c>
      <c r="F2088" s="4">
        <v>9.6967679194164881E-4</v>
      </c>
      <c r="G2088" s="4">
        <v>9.6967679194164881E-4</v>
      </c>
      <c r="H2088" s="4">
        <v>9.6967679194164881E-4</v>
      </c>
      <c r="I2088" s="4">
        <v>9.6967679194164881E-4</v>
      </c>
      <c r="J2088" s="4">
        <v>9.6967679194164881E-4</v>
      </c>
      <c r="K2088" s="4">
        <v>9.6967679194164881E-4</v>
      </c>
      <c r="L2088" s="4">
        <v>9.6967679194164881E-4</v>
      </c>
      <c r="M2088" s="4">
        <v>9.6967679194164881E-4</v>
      </c>
      <c r="N2088" t="s">
        <v>242</v>
      </c>
      <c r="O2088" t="s">
        <v>381</v>
      </c>
      <c r="P2088" t="s">
        <v>382</v>
      </c>
      <c r="Q2088" t="s">
        <v>245</v>
      </c>
    </row>
    <row r="2089" spans="1:17" x14ac:dyDescent="0.25">
      <c r="A2089" t="s">
        <v>382</v>
      </c>
      <c r="B2089" t="s">
        <v>133</v>
      </c>
      <c r="C2089" s="4">
        <v>6.9943899746610734E-7</v>
      </c>
      <c r="D2089" s="4">
        <v>6.9943899746610734E-7</v>
      </c>
      <c r="E2089" s="4">
        <v>6.9943899746610734E-7</v>
      </c>
      <c r="F2089" s="4">
        <v>6.9943899746610734E-7</v>
      </c>
      <c r="G2089" s="4">
        <v>6.9943899746610734E-7</v>
      </c>
      <c r="H2089" s="4">
        <v>6.9943899746610734E-7</v>
      </c>
      <c r="I2089" s="4">
        <v>6.9943899746610734E-7</v>
      </c>
      <c r="J2089" s="4">
        <v>6.9943899746610734E-7</v>
      </c>
      <c r="K2089" s="4">
        <v>6.9943899746610734E-7</v>
      </c>
      <c r="L2089" s="4">
        <v>6.9943899746610734E-7</v>
      </c>
      <c r="M2089" s="4">
        <v>6.9943899746610734E-7</v>
      </c>
      <c r="N2089" t="s">
        <v>242</v>
      </c>
      <c r="O2089" t="s">
        <v>381</v>
      </c>
      <c r="P2089" t="s">
        <v>382</v>
      </c>
      <c r="Q2089" t="s">
        <v>245</v>
      </c>
    </row>
    <row r="2090" spans="1:17" x14ac:dyDescent="0.25">
      <c r="A2090" t="s">
        <v>382</v>
      </c>
      <c r="B2090" t="s">
        <v>106</v>
      </c>
      <c r="C2090" s="4">
        <v>1.89166456132879E-3</v>
      </c>
      <c r="D2090" s="4">
        <v>1.89166456132879E-3</v>
      </c>
      <c r="E2090" s="4">
        <v>1.89166456132879E-3</v>
      </c>
      <c r="F2090" s="4">
        <v>1.89166456132879E-3</v>
      </c>
      <c r="G2090" s="4">
        <v>1.89166456132879E-3</v>
      </c>
      <c r="H2090" s="4">
        <v>1.89166456132879E-3</v>
      </c>
      <c r="I2090" s="4">
        <v>1.89166456132879E-3</v>
      </c>
      <c r="J2090" s="4">
        <v>1.89166456132879E-3</v>
      </c>
      <c r="K2090" s="4">
        <v>1.89166456132879E-3</v>
      </c>
      <c r="L2090" s="4">
        <v>1.89166456132879E-3</v>
      </c>
      <c r="M2090" s="4">
        <v>1.89166456132879E-3</v>
      </c>
      <c r="N2090" t="s">
        <v>242</v>
      </c>
      <c r="O2090" t="s">
        <v>381</v>
      </c>
      <c r="P2090" t="s">
        <v>382</v>
      </c>
      <c r="Q2090" t="s">
        <v>245</v>
      </c>
    </row>
    <row r="2091" spans="1:17" x14ac:dyDescent="0.25">
      <c r="A2091" t="s">
        <v>382</v>
      </c>
      <c r="B2091" t="s">
        <v>146</v>
      </c>
      <c r="C2091" s="4">
        <v>1.0841304460724661E-3</v>
      </c>
      <c r="D2091" s="4">
        <v>1.0841304460724661E-3</v>
      </c>
      <c r="E2091" s="4">
        <v>1.0841304460724661E-3</v>
      </c>
      <c r="F2091" s="4">
        <v>1.0841304460724661E-3</v>
      </c>
      <c r="G2091" s="4">
        <v>1.0841304460724661E-3</v>
      </c>
      <c r="H2091" s="4">
        <v>1.0841304460724661E-3</v>
      </c>
      <c r="I2091" s="4">
        <v>1.0841304460724661E-3</v>
      </c>
      <c r="J2091" s="4">
        <v>1.0841304460724661E-3</v>
      </c>
      <c r="K2091" s="4">
        <v>1.0841304460724661E-3</v>
      </c>
      <c r="L2091" s="4">
        <v>1.0841304460724661E-3</v>
      </c>
      <c r="M2091" s="4">
        <v>1.0841304460724661E-3</v>
      </c>
      <c r="N2091" t="s">
        <v>242</v>
      </c>
      <c r="O2091" t="s">
        <v>381</v>
      </c>
      <c r="P2091" t="s">
        <v>382</v>
      </c>
      <c r="Q2091" t="s">
        <v>245</v>
      </c>
    </row>
    <row r="2092" spans="1:17" x14ac:dyDescent="0.25">
      <c r="A2092" t="s">
        <v>382</v>
      </c>
      <c r="B2092" t="s">
        <v>156</v>
      </c>
      <c r="C2092" s="4">
        <v>7.9481704257512199E-4</v>
      </c>
      <c r="D2092" s="4">
        <v>7.9481704257512199E-4</v>
      </c>
      <c r="E2092" s="4">
        <v>7.9481704257512199E-4</v>
      </c>
      <c r="F2092" s="4">
        <v>7.9481704257512199E-4</v>
      </c>
      <c r="G2092" s="4">
        <v>7.9481704257512199E-4</v>
      </c>
      <c r="H2092" s="4">
        <v>7.9481704257512199E-4</v>
      </c>
      <c r="I2092" s="4">
        <v>7.9481704257512199E-4</v>
      </c>
      <c r="J2092" s="4">
        <v>7.9481704257512199E-4</v>
      </c>
      <c r="K2092" s="4">
        <v>7.9481704257512199E-4</v>
      </c>
      <c r="L2092" s="4">
        <v>7.9481704257512199E-4</v>
      </c>
      <c r="M2092" s="4">
        <v>7.9481704257512199E-4</v>
      </c>
      <c r="N2092" t="s">
        <v>242</v>
      </c>
      <c r="O2092" t="s">
        <v>381</v>
      </c>
      <c r="P2092" t="s">
        <v>382</v>
      </c>
      <c r="Q2092" t="s">
        <v>245</v>
      </c>
    </row>
    <row r="2093" spans="1:17" x14ac:dyDescent="0.25">
      <c r="A2093" t="s">
        <v>382</v>
      </c>
      <c r="B2093" t="s">
        <v>151</v>
      </c>
      <c r="C2093" s="4">
        <v>1.206325618197966E-2</v>
      </c>
      <c r="D2093" s="4">
        <v>1.206325618197966E-2</v>
      </c>
      <c r="E2093" s="4">
        <v>1.206325618197966E-2</v>
      </c>
      <c r="F2093" s="4">
        <v>1.206325618197966E-2</v>
      </c>
      <c r="G2093" s="4">
        <v>1.206325618197966E-2</v>
      </c>
      <c r="H2093" s="4">
        <v>1.206325618197966E-2</v>
      </c>
      <c r="I2093" s="4">
        <v>1.206325618197966E-2</v>
      </c>
      <c r="J2093" s="4">
        <v>1.206325618197966E-2</v>
      </c>
      <c r="K2093" s="4">
        <v>1.206325618197966E-2</v>
      </c>
      <c r="L2093" s="4">
        <v>1.206325618197966E-2</v>
      </c>
      <c r="M2093" s="4">
        <v>1.206325618197966E-2</v>
      </c>
      <c r="N2093" t="s">
        <v>242</v>
      </c>
      <c r="O2093" t="s">
        <v>381</v>
      </c>
      <c r="P2093" t="s">
        <v>382</v>
      </c>
      <c r="Q2093" t="s">
        <v>245</v>
      </c>
    </row>
    <row r="2094" spans="1:17" x14ac:dyDescent="0.25">
      <c r="A2094" t="s">
        <v>382</v>
      </c>
      <c r="B2094" t="s">
        <v>178</v>
      </c>
      <c r="C2094" s="4">
        <v>7.6302436087211719E-4</v>
      </c>
      <c r="D2094" s="4">
        <v>7.6302436087211719E-4</v>
      </c>
      <c r="E2094" s="4">
        <v>7.6302436087211719E-4</v>
      </c>
      <c r="F2094" s="4">
        <v>7.6302436087211719E-4</v>
      </c>
      <c r="G2094" s="4">
        <v>7.6302436087211719E-4</v>
      </c>
      <c r="H2094" s="4">
        <v>7.6302436087211719E-4</v>
      </c>
      <c r="I2094" s="4">
        <v>7.6302436087211719E-4</v>
      </c>
      <c r="J2094" s="4">
        <v>7.6302436087211719E-4</v>
      </c>
      <c r="K2094" s="4">
        <v>7.6302436087211719E-4</v>
      </c>
      <c r="L2094" s="4">
        <v>7.6302436087211719E-4</v>
      </c>
      <c r="M2094" s="4">
        <v>7.6302436087211719E-4</v>
      </c>
      <c r="N2094" t="s">
        <v>242</v>
      </c>
      <c r="O2094" t="s">
        <v>381</v>
      </c>
      <c r="P2094" t="s">
        <v>382</v>
      </c>
      <c r="Q2094" t="s">
        <v>245</v>
      </c>
    </row>
    <row r="2095" spans="1:17" x14ac:dyDescent="0.25">
      <c r="A2095" t="s">
        <v>382</v>
      </c>
      <c r="B2095" t="s">
        <v>120</v>
      </c>
      <c r="C2095" s="4">
        <v>1.653219448556254E-3</v>
      </c>
      <c r="D2095" s="4">
        <v>1.653219448556254E-3</v>
      </c>
      <c r="E2095" s="4">
        <v>1.653219448556254E-3</v>
      </c>
      <c r="F2095" s="4">
        <v>1.653219448556254E-3</v>
      </c>
      <c r="G2095" s="4">
        <v>1.653219448556254E-3</v>
      </c>
      <c r="H2095" s="4">
        <v>1.653219448556254E-3</v>
      </c>
      <c r="I2095" s="4">
        <v>1.653219448556254E-3</v>
      </c>
      <c r="J2095" s="4">
        <v>1.653219448556254E-3</v>
      </c>
      <c r="K2095" s="4">
        <v>1.653219448556254E-3</v>
      </c>
      <c r="L2095" s="4">
        <v>1.653219448556254E-3</v>
      </c>
      <c r="M2095" s="4">
        <v>1.653219448556254E-3</v>
      </c>
      <c r="N2095" t="s">
        <v>242</v>
      </c>
      <c r="O2095" t="s">
        <v>381</v>
      </c>
      <c r="P2095" t="s">
        <v>382</v>
      </c>
      <c r="Q2095" t="s">
        <v>245</v>
      </c>
    </row>
    <row r="2096" spans="1:17" x14ac:dyDescent="0.25">
      <c r="A2096" t="s">
        <v>382</v>
      </c>
      <c r="B2096" t="s">
        <v>107</v>
      </c>
      <c r="C2096" s="4">
        <v>1.117512761860621E-2</v>
      </c>
      <c r="D2096" s="4">
        <v>1.117512761860621E-2</v>
      </c>
      <c r="E2096" s="4">
        <v>1.117512761860621E-2</v>
      </c>
      <c r="F2096" s="4">
        <v>1.117512761860621E-2</v>
      </c>
      <c r="G2096" s="4">
        <v>1.117512761860621E-2</v>
      </c>
      <c r="H2096" s="4">
        <v>1.117512761860621E-2</v>
      </c>
      <c r="I2096" s="4">
        <v>1.117512761860621E-2</v>
      </c>
      <c r="J2096" s="4">
        <v>1.117512761860621E-2</v>
      </c>
      <c r="K2096" s="4">
        <v>1.117512761860621E-2</v>
      </c>
      <c r="L2096" s="4">
        <v>1.117512761860621E-2</v>
      </c>
      <c r="M2096" s="4">
        <v>1.117512761860621E-2</v>
      </c>
      <c r="N2096" t="s">
        <v>242</v>
      </c>
      <c r="O2096" t="s">
        <v>381</v>
      </c>
      <c r="P2096" t="s">
        <v>382</v>
      </c>
      <c r="Q2096" t="s">
        <v>245</v>
      </c>
    </row>
    <row r="2097" spans="1:17" x14ac:dyDescent="0.25">
      <c r="A2097" t="s">
        <v>382</v>
      </c>
      <c r="B2097" t="s">
        <v>108</v>
      </c>
      <c r="C2097" s="4">
        <v>5.4683412529168392E-3</v>
      </c>
      <c r="D2097" s="4">
        <v>5.4683412529168392E-3</v>
      </c>
      <c r="E2097" s="4">
        <v>5.4683412529168392E-3</v>
      </c>
      <c r="F2097" s="4">
        <v>5.4683412529168392E-3</v>
      </c>
      <c r="G2097" s="4">
        <v>5.4683412529168392E-3</v>
      </c>
      <c r="H2097" s="4">
        <v>5.4683412529168392E-3</v>
      </c>
      <c r="I2097" s="4">
        <v>5.4683412529168392E-3</v>
      </c>
      <c r="J2097" s="4">
        <v>5.4683412529168392E-3</v>
      </c>
      <c r="K2097" s="4">
        <v>5.4683412529168392E-3</v>
      </c>
      <c r="L2097" s="4">
        <v>5.4683412529168392E-3</v>
      </c>
      <c r="M2097" s="4">
        <v>5.4683412529168392E-3</v>
      </c>
      <c r="N2097" t="s">
        <v>242</v>
      </c>
      <c r="O2097" t="s">
        <v>381</v>
      </c>
      <c r="P2097" t="s">
        <v>382</v>
      </c>
      <c r="Q2097" t="s">
        <v>245</v>
      </c>
    </row>
    <row r="2098" spans="1:17" x14ac:dyDescent="0.25">
      <c r="A2098" t="s">
        <v>382</v>
      </c>
      <c r="B2098" t="s">
        <v>205</v>
      </c>
      <c r="C2098" s="4">
        <v>3.231567131701931E-4</v>
      </c>
      <c r="D2098" s="4">
        <v>3.231567131701931E-4</v>
      </c>
      <c r="E2098" s="4">
        <v>3.231567131701931E-4</v>
      </c>
      <c r="F2098" s="4">
        <v>3.231567131701931E-4</v>
      </c>
      <c r="G2098" s="4">
        <v>3.231567131701931E-4</v>
      </c>
      <c r="H2098" s="4">
        <v>3.231567131701931E-4</v>
      </c>
      <c r="I2098" s="4">
        <v>3.231567131701931E-4</v>
      </c>
      <c r="J2098" s="4">
        <v>3.231567131701931E-4</v>
      </c>
      <c r="K2098" s="4">
        <v>3.231567131701931E-4</v>
      </c>
      <c r="L2098" s="4">
        <v>3.231567131701931E-4</v>
      </c>
      <c r="M2098" s="4">
        <v>3.231567131701931E-4</v>
      </c>
      <c r="N2098" t="s">
        <v>242</v>
      </c>
      <c r="O2098" t="s">
        <v>381</v>
      </c>
      <c r="P2098" t="s">
        <v>382</v>
      </c>
      <c r="Q2098" t="s">
        <v>245</v>
      </c>
    </row>
    <row r="2099" spans="1:17" x14ac:dyDescent="0.25">
      <c r="A2099" t="s">
        <v>382</v>
      </c>
      <c r="B2099" t="s">
        <v>179</v>
      </c>
      <c r="C2099" s="4">
        <v>1.176329223011181E-3</v>
      </c>
      <c r="D2099" s="4">
        <v>1.176329223011181E-3</v>
      </c>
      <c r="E2099" s="4">
        <v>1.176329223011181E-3</v>
      </c>
      <c r="F2099" s="4">
        <v>1.176329223011181E-3</v>
      </c>
      <c r="G2099" s="4">
        <v>1.176329223011181E-3</v>
      </c>
      <c r="H2099" s="4">
        <v>1.176329223011181E-3</v>
      </c>
      <c r="I2099" s="4">
        <v>1.176329223011181E-3</v>
      </c>
      <c r="J2099" s="4">
        <v>1.176329223011181E-3</v>
      </c>
      <c r="K2099" s="4">
        <v>1.176329223011181E-3</v>
      </c>
      <c r="L2099" s="4">
        <v>1.176329223011181E-3</v>
      </c>
      <c r="M2099" s="4">
        <v>1.176329223011181E-3</v>
      </c>
      <c r="N2099" t="s">
        <v>242</v>
      </c>
      <c r="O2099" t="s">
        <v>381</v>
      </c>
      <c r="P2099" t="s">
        <v>382</v>
      </c>
      <c r="Q2099" t="s">
        <v>245</v>
      </c>
    </row>
    <row r="2100" spans="1:17" x14ac:dyDescent="0.25">
      <c r="A2100" t="s">
        <v>382</v>
      </c>
      <c r="B2100" t="s">
        <v>135</v>
      </c>
      <c r="C2100" s="4">
        <v>6.9943899746610736E-4</v>
      </c>
      <c r="D2100" s="4">
        <v>6.9943899746610736E-4</v>
      </c>
      <c r="E2100" s="4">
        <v>6.9943899746610736E-4</v>
      </c>
      <c r="F2100" s="4">
        <v>6.9943899746610736E-4</v>
      </c>
      <c r="G2100" s="4">
        <v>6.9943899746610736E-4</v>
      </c>
      <c r="H2100" s="4">
        <v>6.9943899746610736E-4</v>
      </c>
      <c r="I2100" s="4">
        <v>6.9943899746610736E-4</v>
      </c>
      <c r="J2100" s="4">
        <v>6.9943899746610736E-4</v>
      </c>
      <c r="K2100" s="4">
        <v>6.9943899746610736E-4</v>
      </c>
      <c r="L2100" s="4">
        <v>6.9943899746610736E-4</v>
      </c>
      <c r="M2100" s="4">
        <v>6.9943899746610736E-4</v>
      </c>
      <c r="N2100" t="s">
        <v>242</v>
      </c>
      <c r="O2100" t="s">
        <v>381</v>
      </c>
      <c r="P2100" t="s">
        <v>382</v>
      </c>
      <c r="Q2100" t="s">
        <v>245</v>
      </c>
    </row>
    <row r="2101" spans="1:17" x14ac:dyDescent="0.25">
      <c r="A2101" t="s">
        <v>382</v>
      </c>
      <c r="B2101" t="s">
        <v>136</v>
      </c>
      <c r="C2101" s="4">
        <v>9.37884110238644E-4</v>
      </c>
      <c r="D2101" s="4">
        <v>9.37884110238644E-4</v>
      </c>
      <c r="E2101" s="4">
        <v>9.37884110238644E-4</v>
      </c>
      <c r="F2101" s="4">
        <v>9.37884110238644E-4</v>
      </c>
      <c r="G2101" s="4">
        <v>9.37884110238644E-4</v>
      </c>
      <c r="H2101" s="4">
        <v>9.37884110238644E-4</v>
      </c>
      <c r="I2101" s="4">
        <v>9.37884110238644E-4</v>
      </c>
      <c r="J2101" s="4">
        <v>9.37884110238644E-4</v>
      </c>
      <c r="K2101" s="4">
        <v>9.37884110238644E-4</v>
      </c>
      <c r="L2101" s="4">
        <v>9.37884110238644E-4</v>
      </c>
      <c r="M2101" s="4">
        <v>9.37884110238644E-4</v>
      </c>
      <c r="N2101" t="s">
        <v>242</v>
      </c>
      <c r="O2101" t="s">
        <v>381</v>
      </c>
      <c r="P2101" t="s">
        <v>382</v>
      </c>
      <c r="Q2101" t="s">
        <v>245</v>
      </c>
    </row>
    <row r="2102" spans="1:17" x14ac:dyDescent="0.25">
      <c r="A2102" t="s">
        <v>382</v>
      </c>
      <c r="B2102" t="s">
        <v>137</v>
      </c>
      <c r="C2102" s="4">
        <v>4.4350790975691808E-3</v>
      </c>
      <c r="D2102" s="4">
        <v>4.4350790975691808E-3</v>
      </c>
      <c r="E2102" s="4">
        <v>4.4350790975691808E-3</v>
      </c>
      <c r="F2102" s="4">
        <v>4.4350790975691808E-3</v>
      </c>
      <c r="G2102" s="4">
        <v>4.4350790975691808E-3</v>
      </c>
      <c r="H2102" s="4">
        <v>4.4350790975691808E-3</v>
      </c>
      <c r="I2102" s="4">
        <v>4.4350790975691808E-3</v>
      </c>
      <c r="J2102" s="4">
        <v>4.4350790975691808E-3</v>
      </c>
      <c r="K2102" s="4">
        <v>4.4350790975691808E-3</v>
      </c>
      <c r="L2102" s="4">
        <v>4.4350790975691808E-3</v>
      </c>
      <c r="M2102" s="4">
        <v>4.4350790975691808E-3</v>
      </c>
      <c r="N2102" t="s">
        <v>242</v>
      </c>
      <c r="O2102" t="s">
        <v>381</v>
      </c>
      <c r="P2102" t="s">
        <v>382</v>
      </c>
      <c r="Q2102" t="s">
        <v>245</v>
      </c>
    </row>
    <row r="2103" spans="1:17" x14ac:dyDescent="0.25">
      <c r="A2103" t="s">
        <v>382</v>
      </c>
      <c r="B2103" t="s">
        <v>121</v>
      </c>
      <c r="C2103" s="4">
        <v>1.4894871377857791E-2</v>
      </c>
      <c r="D2103" s="4">
        <v>1.4894871377857791E-2</v>
      </c>
      <c r="E2103" s="4">
        <v>1.4894871377857791E-2</v>
      </c>
      <c r="F2103" s="4">
        <v>1.4894871377857791E-2</v>
      </c>
      <c r="G2103" s="4">
        <v>1.4894871377857791E-2</v>
      </c>
      <c r="H2103" s="4">
        <v>1.4894871377857791E-2</v>
      </c>
      <c r="I2103" s="4">
        <v>1.4894871377857791E-2</v>
      </c>
      <c r="J2103" s="4">
        <v>1.4894871377857791E-2</v>
      </c>
      <c r="K2103" s="4">
        <v>1.4894871377857791E-2</v>
      </c>
      <c r="L2103" s="4">
        <v>1.4894871377857791E-2</v>
      </c>
      <c r="M2103" s="4">
        <v>1.4894871377857791E-2</v>
      </c>
      <c r="N2103" t="s">
        <v>242</v>
      </c>
      <c r="O2103" t="s">
        <v>381</v>
      </c>
      <c r="P2103" t="s">
        <v>382</v>
      </c>
      <c r="Q2103" t="s">
        <v>245</v>
      </c>
    </row>
    <row r="2104" spans="1:17" x14ac:dyDescent="0.25">
      <c r="A2104" t="s">
        <v>382</v>
      </c>
      <c r="B2104" t="s">
        <v>211</v>
      </c>
      <c r="C2104" s="4">
        <v>3.64884607905387E-4</v>
      </c>
      <c r="D2104" s="4">
        <v>3.64884607905387E-4</v>
      </c>
      <c r="E2104" s="4">
        <v>3.64884607905387E-4</v>
      </c>
      <c r="F2104" s="4">
        <v>3.64884607905387E-4</v>
      </c>
      <c r="G2104" s="4">
        <v>3.64884607905387E-4</v>
      </c>
      <c r="H2104" s="4">
        <v>3.64884607905387E-4</v>
      </c>
      <c r="I2104" s="4">
        <v>3.64884607905387E-4</v>
      </c>
      <c r="J2104" s="4">
        <v>3.64884607905387E-4</v>
      </c>
      <c r="K2104" s="4">
        <v>3.64884607905387E-4</v>
      </c>
      <c r="L2104" s="4">
        <v>3.64884607905387E-4</v>
      </c>
      <c r="M2104" s="4">
        <v>3.64884607905387E-4</v>
      </c>
      <c r="N2104" t="s">
        <v>242</v>
      </c>
      <c r="O2104" t="s">
        <v>381</v>
      </c>
      <c r="P2104" t="s">
        <v>382</v>
      </c>
      <c r="Q2104" t="s">
        <v>245</v>
      </c>
    </row>
    <row r="2105" spans="1:17" x14ac:dyDescent="0.25">
      <c r="A2105" t="s">
        <v>382</v>
      </c>
      <c r="B2105" t="s">
        <v>138</v>
      </c>
      <c r="C2105" s="4">
        <v>5.9953526411667003E-3</v>
      </c>
      <c r="D2105" s="4">
        <v>5.9953526411667003E-3</v>
      </c>
      <c r="E2105" s="4">
        <v>5.9953526411667003E-3</v>
      </c>
      <c r="F2105" s="4">
        <v>5.9953526411667003E-3</v>
      </c>
      <c r="G2105" s="4">
        <v>5.9953526411667003E-3</v>
      </c>
      <c r="H2105" s="4">
        <v>5.9953526411667003E-3</v>
      </c>
      <c r="I2105" s="4">
        <v>5.9953526411667003E-3</v>
      </c>
      <c r="J2105" s="4">
        <v>5.9953526411667003E-3</v>
      </c>
      <c r="K2105" s="4">
        <v>5.9953526411667003E-3</v>
      </c>
      <c r="L2105" s="4">
        <v>5.9953526411667003E-3</v>
      </c>
      <c r="M2105" s="4">
        <v>5.9953526411667003E-3</v>
      </c>
      <c r="N2105" t="s">
        <v>242</v>
      </c>
      <c r="O2105" t="s">
        <v>381</v>
      </c>
      <c r="P2105" t="s">
        <v>382</v>
      </c>
      <c r="Q2105" t="s">
        <v>245</v>
      </c>
    </row>
    <row r="2106" spans="1:17" x14ac:dyDescent="0.25">
      <c r="A2106" t="s">
        <v>382</v>
      </c>
      <c r="B2106" t="s">
        <v>208</v>
      </c>
      <c r="C2106" s="4">
        <v>4.3079083707571611E-3</v>
      </c>
      <c r="D2106" s="4">
        <v>4.3079083707571611E-3</v>
      </c>
      <c r="E2106" s="4">
        <v>4.3079083707571611E-3</v>
      </c>
      <c r="F2106" s="4">
        <v>4.3079083707571611E-3</v>
      </c>
      <c r="G2106" s="4">
        <v>4.3079083707571611E-3</v>
      </c>
      <c r="H2106" s="4">
        <v>4.3079083707571611E-3</v>
      </c>
      <c r="I2106" s="4">
        <v>4.3079083707571611E-3</v>
      </c>
      <c r="J2106" s="4">
        <v>4.3079083707571611E-3</v>
      </c>
      <c r="K2106" s="4">
        <v>4.3079083707571611E-3</v>
      </c>
      <c r="L2106" s="4">
        <v>4.3079083707571611E-3</v>
      </c>
      <c r="M2106" s="4">
        <v>4.3079083707571611E-3</v>
      </c>
      <c r="N2106" t="s">
        <v>242</v>
      </c>
      <c r="O2106" t="s">
        <v>381</v>
      </c>
      <c r="P2106" t="s">
        <v>382</v>
      </c>
      <c r="Q2106" t="s">
        <v>245</v>
      </c>
    </row>
    <row r="2107" spans="1:17" x14ac:dyDescent="0.25">
      <c r="A2107" t="s">
        <v>382</v>
      </c>
      <c r="B2107" t="s">
        <v>139</v>
      </c>
      <c r="C2107" s="4">
        <v>9.2198776938714157E-5</v>
      </c>
      <c r="D2107" s="4">
        <v>9.2198776938714157E-5</v>
      </c>
      <c r="E2107" s="4">
        <v>9.2198776938714157E-5</v>
      </c>
      <c r="F2107" s="4">
        <v>9.2198776938714157E-5</v>
      </c>
      <c r="G2107" s="4">
        <v>9.2198776938714157E-5</v>
      </c>
      <c r="H2107" s="4">
        <v>9.2198776938714157E-5</v>
      </c>
      <c r="I2107" s="4">
        <v>9.2198776938714157E-5</v>
      </c>
      <c r="J2107" s="4">
        <v>9.2198776938714157E-5</v>
      </c>
      <c r="K2107" s="4">
        <v>9.2198776938714157E-5</v>
      </c>
      <c r="L2107" s="4">
        <v>9.2198776938714157E-5</v>
      </c>
      <c r="M2107" s="4">
        <v>9.2198776938714157E-5</v>
      </c>
      <c r="N2107" t="s">
        <v>242</v>
      </c>
      <c r="O2107" t="s">
        <v>381</v>
      </c>
      <c r="P2107" t="s">
        <v>382</v>
      </c>
      <c r="Q2107" t="s">
        <v>245</v>
      </c>
    </row>
    <row r="2108" spans="1:17" x14ac:dyDescent="0.25">
      <c r="A2108" t="s">
        <v>382</v>
      </c>
      <c r="B2108" t="s">
        <v>111</v>
      </c>
      <c r="C2108" s="4">
        <v>1.3988779949322149E-4</v>
      </c>
      <c r="D2108" s="4">
        <v>1.3988779949322149E-4</v>
      </c>
      <c r="E2108" s="4">
        <v>1.3988779949322149E-4</v>
      </c>
      <c r="F2108" s="4">
        <v>1.3988779949322149E-4</v>
      </c>
      <c r="G2108" s="4">
        <v>1.3988779949322149E-4</v>
      </c>
      <c r="H2108" s="4">
        <v>1.3988779949322149E-4</v>
      </c>
      <c r="I2108" s="4">
        <v>1.3988779949322149E-4</v>
      </c>
      <c r="J2108" s="4">
        <v>1.3988779949322149E-4</v>
      </c>
      <c r="K2108" s="4">
        <v>1.3988779949322149E-4</v>
      </c>
      <c r="L2108" s="4">
        <v>1.3988779949322149E-4</v>
      </c>
      <c r="M2108" s="4">
        <v>1.3988779949322149E-4</v>
      </c>
      <c r="N2108" t="s">
        <v>242</v>
      </c>
      <c r="O2108" t="s">
        <v>381</v>
      </c>
      <c r="P2108" t="s">
        <v>382</v>
      </c>
      <c r="Q2108" t="s">
        <v>245</v>
      </c>
    </row>
    <row r="2109" spans="1:17" x14ac:dyDescent="0.25">
      <c r="A2109" t="s">
        <v>382</v>
      </c>
      <c r="B2109" t="s">
        <v>215</v>
      </c>
      <c r="C2109" s="4">
        <v>6.6923594984825271E-3</v>
      </c>
      <c r="D2109" s="4">
        <v>6.6923594984825271E-3</v>
      </c>
      <c r="E2109" s="4">
        <v>6.6923594984825271E-3</v>
      </c>
      <c r="F2109" s="4">
        <v>6.6923594984825271E-3</v>
      </c>
      <c r="G2109" s="4">
        <v>6.6923594984825271E-3</v>
      </c>
      <c r="H2109" s="4">
        <v>6.6923594984825271E-3</v>
      </c>
      <c r="I2109" s="4">
        <v>6.6923594984825271E-3</v>
      </c>
      <c r="J2109" s="4">
        <v>6.6923594984825271E-3</v>
      </c>
      <c r="K2109" s="4">
        <v>6.6923594984825271E-3</v>
      </c>
      <c r="L2109" s="4">
        <v>6.6923594984825271E-3</v>
      </c>
      <c r="M2109" s="4">
        <v>6.6923594984825271E-3</v>
      </c>
      <c r="N2109" t="s">
        <v>242</v>
      </c>
      <c r="O2109" t="s">
        <v>381</v>
      </c>
      <c r="P2109" t="s">
        <v>382</v>
      </c>
      <c r="Q2109" t="s">
        <v>245</v>
      </c>
    </row>
    <row r="2110" spans="1:17" x14ac:dyDescent="0.25">
      <c r="A2110" t="s">
        <v>382</v>
      </c>
      <c r="B2110" t="s">
        <v>112</v>
      </c>
      <c r="C2110" s="4">
        <v>4.5463534835296984E-3</v>
      </c>
      <c r="D2110" s="4">
        <v>4.5463534835296984E-3</v>
      </c>
      <c r="E2110" s="4">
        <v>4.5463534835296984E-3</v>
      </c>
      <c r="F2110" s="4">
        <v>4.5463534835296984E-3</v>
      </c>
      <c r="G2110" s="4">
        <v>4.5463534835296984E-3</v>
      </c>
      <c r="H2110" s="4">
        <v>4.5463534835296984E-3</v>
      </c>
      <c r="I2110" s="4">
        <v>4.5463534835296984E-3</v>
      </c>
      <c r="J2110" s="4">
        <v>4.5463534835296984E-3</v>
      </c>
      <c r="K2110" s="4">
        <v>4.5463534835296984E-3</v>
      </c>
      <c r="L2110" s="4">
        <v>4.5463534835296984E-3</v>
      </c>
      <c r="M2110" s="4">
        <v>4.5463534835296984E-3</v>
      </c>
      <c r="N2110" t="s">
        <v>242</v>
      </c>
      <c r="O2110" t="s">
        <v>381</v>
      </c>
      <c r="P2110" t="s">
        <v>382</v>
      </c>
      <c r="Q2110" t="s">
        <v>245</v>
      </c>
    </row>
    <row r="2111" spans="1:17" x14ac:dyDescent="0.25">
      <c r="A2111" t="s">
        <v>382</v>
      </c>
      <c r="B2111" t="s">
        <v>113</v>
      </c>
      <c r="C2111" s="4">
        <v>8.8622100247126107E-2</v>
      </c>
      <c r="D2111" s="4">
        <v>8.8622100247126107E-2</v>
      </c>
      <c r="E2111" s="4">
        <v>8.8622100247126107E-2</v>
      </c>
      <c r="F2111" s="4">
        <v>8.8622100247126107E-2</v>
      </c>
      <c r="G2111" s="4">
        <v>8.8622100247126107E-2</v>
      </c>
      <c r="H2111" s="4">
        <v>8.8622100247126107E-2</v>
      </c>
      <c r="I2111" s="4">
        <v>8.8622100247126107E-2</v>
      </c>
      <c r="J2111" s="4">
        <v>8.8622100247126107E-2</v>
      </c>
      <c r="K2111" s="4">
        <v>8.8622100247126107E-2</v>
      </c>
      <c r="L2111" s="4">
        <v>8.8622100247126107E-2</v>
      </c>
      <c r="M2111" s="4">
        <v>8.8622100247126107E-2</v>
      </c>
      <c r="N2111" t="s">
        <v>242</v>
      </c>
      <c r="O2111" t="s">
        <v>381</v>
      </c>
      <c r="P2111" t="s">
        <v>382</v>
      </c>
      <c r="Q2111" t="s">
        <v>245</v>
      </c>
    </row>
    <row r="2112" spans="1:17" x14ac:dyDescent="0.25">
      <c r="A2112" t="s">
        <v>382</v>
      </c>
      <c r="B2112" t="s">
        <v>142</v>
      </c>
      <c r="C2112" s="4">
        <v>6.3585363406009761E-5</v>
      </c>
      <c r="D2112" s="4">
        <v>6.3585363406009761E-5</v>
      </c>
      <c r="E2112" s="4">
        <v>6.3585363406009761E-5</v>
      </c>
      <c r="F2112" s="4">
        <v>6.3585363406009761E-5</v>
      </c>
      <c r="G2112" s="4">
        <v>6.3585363406009761E-5</v>
      </c>
      <c r="H2112" s="4">
        <v>6.3585363406009761E-5</v>
      </c>
      <c r="I2112" s="4">
        <v>6.3585363406009761E-5</v>
      </c>
      <c r="J2112" s="4">
        <v>6.3585363406009761E-5</v>
      </c>
      <c r="K2112" s="4">
        <v>6.3585363406009761E-5</v>
      </c>
      <c r="L2112" s="4">
        <v>6.3585363406009761E-5</v>
      </c>
      <c r="M2112" s="4">
        <v>6.3585363406009761E-5</v>
      </c>
      <c r="N2112" t="s">
        <v>242</v>
      </c>
      <c r="O2112" t="s">
        <v>381</v>
      </c>
      <c r="P2112" t="s">
        <v>382</v>
      </c>
      <c r="Q2112" t="s">
        <v>245</v>
      </c>
    </row>
    <row r="2113" spans="1:18" x14ac:dyDescent="0.25">
      <c r="A2113" t="s">
        <v>382</v>
      </c>
      <c r="B2113" t="s">
        <v>122</v>
      </c>
      <c r="C2113" s="4">
        <v>2.7367140409946598E-3</v>
      </c>
      <c r="D2113" s="4">
        <v>2.7367140409946598E-3</v>
      </c>
      <c r="E2113" s="4">
        <v>2.7367140409946598E-3</v>
      </c>
      <c r="F2113" s="4">
        <v>2.7367140409946598E-3</v>
      </c>
      <c r="G2113" s="4">
        <v>2.7367140409946598E-3</v>
      </c>
      <c r="H2113" s="4">
        <v>2.7367140409946598E-3</v>
      </c>
      <c r="I2113" s="4">
        <v>2.7367140409946598E-3</v>
      </c>
      <c r="J2113" s="4">
        <v>2.7367140409946598E-3</v>
      </c>
      <c r="K2113" s="4">
        <v>2.7367140409946598E-3</v>
      </c>
      <c r="L2113" s="4">
        <v>2.7367140409946598E-3</v>
      </c>
      <c r="M2113" s="4">
        <v>2.7367140409946598E-3</v>
      </c>
      <c r="N2113" t="s">
        <v>242</v>
      </c>
      <c r="O2113" t="s">
        <v>381</v>
      </c>
      <c r="P2113" t="s">
        <v>382</v>
      </c>
      <c r="Q2113" t="s">
        <v>245</v>
      </c>
    </row>
    <row r="2114" spans="1:18" x14ac:dyDescent="0.25">
      <c r="A2114" t="s">
        <v>382</v>
      </c>
      <c r="B2114" t="s">
        <v>123</v>
      </c>
      <c r="C2114" s="4">
        <v>1.971146265586303E-3</v>
      </c>
      <c r="D2114" s="4">
        <v>1.971146265586303E-3</v>
      </c>
      <c r="E2114" s="4">
        <v>1.971146265586303E-3</v>
      </c>
      <c r="F2114" s="4">
        <v>1.971146265586303E-3</v>
      </c>
      <c r="G2114" s="4">
        <v>1.971146265586303E-3</v>
      </c>
      <c r="H2114" s="4">
        <v>1.971146265586303E-3</v>
      </c>
      <c r="I2114" s="4">
        <v>1.971146265586303E-3</v>
      </c>
      <c r="J2114" s="4">
        <v>1.971146265586303E-3</v>
      </c>
      <c r="K2114" s="4">
        <v>1.971146265586303E-3</v>
      </c>
      <c r="L2114" s="4">
        <v>1.971146265586303E-3</v>
      </c>
      <c r="M2114" s="4">
        <v>1.971146265586303E-3</v>
      </c>
      <c r="N2114" t="s">
        <v>242</v>
      </c>
      <c r="O2114" t="s">
        <v>381</v>
      </c>
      <c r="P2114" t="s">
        <v>382</v>
      </c>
      <c r="Q2114" t="s">
        <v>245</v>
      </c>
    </row>
    <row r="2115" spans="1:18" x14ac:dyDescent="0.25">
      <c r="A2115" t="s">
        <v>382</v>
      </c>
      <c r="B2115" t="s">
        <v>140</v>
      </c>
      <c r="C2115" s="4">
        <v>2.4909566114304321E-2</v>
      </c>
      <c r="D2115" s="4">
        <v>2.4909566114304321E-2</v>
      </c>
      <c r="E2115" s="4">
        <v>2.4909566114304321E-2</v>
      </c>
      <c r="F2115" s="4">
        <v>2.4909566114304321E-2</v>
      </c>
      <c r="G2115" s="4">
        <v>2.4909566114304321E-2</v>
      </c>
      <c r="H2115" s="4">
        <v>2.4909566114304321E-2</v>
      </c>
      <c r="I2115" s="4">
        <v>2.4909566114304321E-2</v>
      </c>
      <c r="J2115" s="4">
        <v>2.4909566114304321E-2</v>
      </c>
      <c r="K2115" s="4">
        <v>2.4909566114304321E-2</v>
      </c>
      <c r="L2115" s="4">
        <v>2.4909566114304321E-2</v>
      </c>
      <c r="M2115" s="4">
        <v>2.4909566114304321E-2</v>
      </c>
      <c r="N2115" t="s">
        <v>242</v>
      </c>
      <c r="O2115" t="s">
        <v>381</v>
      </c>
      <c r="P2115" t="s">
        <v>382</v>
      </c>
      <c r="Q2115" t="s">
        <v>245</v>
      </c>
    </row>
    <row r="2116" spans="1:18" x14ac:dyDescent="0.25">
      <c r="A2116" t="s">
        <v>382</v>
      </c>
      <c r="B2116" t="s">
        <v>180</v>
      </c>
      <c r="C2116" s="4">
        <v>1.7215737142177139E-3</v>
      </c>
      <c r="D2116" s="4">
        <v>1.7215737142177139E-3</v>
      </c>
      <c r="E2116" s="4">
        <v>1.7215737142177139E-3</v>
      </c>
      <c r="F2116" s="4">
        <v>1.7215737142177139E-3</v>
      </c>
      <c r="G2116" s="4">
        <v>1.7215737142177139E-3</v>
      </c>
      <c r="H2116" s="4">
        <v>1.7215737142177139E-3</v>
      </c>
      <c r="I2116" s="4">
        <v>1.7215737142177139E-3</v>
      </c>
      <c r="J2116" s="4">
        <v>1.7215737142177139E-3</v>
      </c>
      <c r="K2116" s="4">
        <v>1.7215737142177139E-3</v>
      </c>
      <c r="L2116" s="4">
        <v>1.7215737142177139E-3</v>
      </c>
      <c r="M2116" s="4">
        <v>1.7215737142177139E-3</v>
      </c>
      <c r="N2116" t="s">
        <v>242</v>
      </c>
      <c r="O2116" t="s">
        <v>381</v>
      </c>
      <c r="P2116" t="s">
        <v>382</v>
      </c>
      <c r="Q2116" t="s">
        <v>245</v>
      </c>
    </row>
    <row r="2117" spans="1:18" x14ac:dyDescent="0.25">
      <c r="A2117" t="s">
        <v>382</v>
      </c>
      <c r="B2117" t="s">
        <v>114</v>
      </c>
      <c r="C2117" s="4">
        <v>7.5660223916811011E-4</v>
      </c>
      <c r="D2117" s="4">
        <v>7.5660223916811011E-4</v>
      </c>
      <c r="E2117" s="4">
        <v>7.5660223916811011E-4</v>
      </c>
      <c r="F2117" s="4">
        <v>7.5660223916811011E-4</v>
      </c>
      <c r="G2117" s="4">
        <v>7.5660223916811011E-4</v>
      </c>
      <c r="H2117" s="4">
        <v>7.5660223916811011E-4</v>
      </c>
      <c r="I2117" s="4">
        <v>7.5660223916811011E-4</v>
      </c>
      <c r="J2117" s="4">
        <v>7.5660223916811011E-4</v>
      </c>
      <c r="K2117" s="4">
        <v>7.5660223916811011E-4</v>
      </c>
      <c r="L2117" s="4">
        <v>7.5660223916811011E-4</v>
      </c>
      <c r="M2117" s="4">
        <v>7.5660223916811011E-4</v>
      </c>
      <c r="N2117" t="s">
        <v>242</v>
      </c>
      <c r="O2117" t="s">
        <v>381</v>
      </c>
      <c r="P2117" t="s">
        <v>382</v>
      </c>
      <c r="Q2117" t="s">
        <v>245</v>
      </c>
    </row>
    <row r="2118" spans="1:18" x14ac:dyDescent="0.25">
      <c r="A2118" t="s">
        <v>382</v>
      </c>
      <c r="B2118" t="s">
        <v>115</v>
      </c>
      <c r="C2118" s="4">
        <v>2.6260755086682029E-3</v>
      </c>
      <c r="D2118" s="4">
        <v>2.6260755086682029E-3</v>
      </c>
      <c r="E2118" s="4">
        <v>2.6260755086682029E-3</v>
      </c>
      <c r="F2118" s="4">
        <v>2.6260755086682029E-3</v>
      </c>
      <c r="G2118" s="4">
        <v>2.6260755086682029E-3</v>
      </c>
      <c r="H2118" s="4">
        <v>2.6260755086682029E-3</v>
      </c>
      <c r="I2118" s="4">
        <v>2.6260755086682029E-3</v>
      </c>
      <c r="J2118" s="4">
        <v>2.6260755086682029E-3</v>
      </c>
      <c r="K2118" s="4">
        <v>2.6260755086682029E-3</v>
      </c>
      <c r="L2118" s="4">
        <v>2.6260755086682029E-3</v>
      </c>
      <c r="M2118" s="4">
        <v>2.6260755086682029E-3</v>
      </c>
      <c r="N2118" t="s">
        <v>242</v>
      </c>
      <c r="O2118" t="s">
        <v>381</v>
      </c>
      <c r="P2118" t="s">
        <v>382</v>
      </c>
      <c r="Q2118" t="s">
        <v>245</v>
      </c>
    </row>
    <row r="2119" spans="1:18" x14ac:dyDescent="0.25">
      <c r="A2119" t="s">
        <v>382</v>
      </c>
      <c r="B2119" t="s">
        <v>143</v>
      </c>
      <c r="C2119" s="4">
        <v>3.6593376640158622E-4</v>
      </c>
      <c r="D2119" s="4">
        <v>3.6593376640158622E-4</v>
      </c>
      <c r="E2119" s="4">
        <v>3.6593376640158622E-4</v>
      </c>
      <c r="F2119" s="4">
        <v>3.6593376640158622E-4</v>
      </c>
      <c r="G2119" s="4">
        <v>3.6593376640158622E-4</v>
      </c>
      <c r="H2119" s="4">
        <v>3.6593376640158622E-4</v>
      </c>
      <c r="I2119" s="4">
        <v>3.6593376640158622E-4</v>
      </c>
      <c r="J2119" s="4">
        <v>3.6593376640158622E-4</v>
      </c>
      <c r="K2119" s="4">
        <v>3.6593376640158622E-4</v>
      </c>
      <c r="L2119" s="4">
        <v>3.6593376640158622E-4</v>
      </c>
      <c r="M2119" s="4">
        <v>3.6593376640158622E-4</v>
      </c>
      <c r="N2119" t="s">
        <v>242</v>
      </c>
      <c r="O2119" t="s">
        <v>381</v>
      </c>
      <c r="P2119" t="s">
        <v>382</v>
      </c>
      <c r="Q2119" t="s">
        <v>245</v>
      </c>
    </row>
    <row r="2120" spans="1:18" x14ac:dyDescent="0.25">
      <c r="A2120" t="s">
        <v>456</v>
      </c>
      <c r="B2120" s="6" t="s">
        <v>83</v>
      </c>
      <c r="C2120" s="4">
        <v>0.90931805235165064</v>
      </c>
      <c r="D2120" s="4">
        <v>0.89848528503807379</v>
      </c>
      <c r="E2120" s="4">
        <v>0.9002681588704492</v>
      </c>
      <c r="F2120" s="4">
        <v>0.8618959007551239</v>
      </c>
      <c r="G2120" s="4">
        <v>0.72992760195740847</v>
      </c>
      <c r="H2120" s="4">
        <v>0.62644912611075154</v>
      </c>
      <c r="I2120" s="4">
        <v>0.54874889990718334</v>
      </c>
      <c r="J2120" s="4">
        <v>0.53145296295798872</v>
      </c>
      <c r="K2120" s="4">
        <v>0.51416409639335114</v>
      </c>
      <c r="L2120" s="4">
        <v>0.4983414659637983</v>
      </c>
      <c r="M2120" s="4">
        <v>0.49303696137375591</v>
      </c>
      <c r="N2120" t="s">
        <v>307</v>
      </c>
      <c r="O2120" t="s">
        <v>457</v>
      </c>
      <c r="P2120" t="s">
        <v>456</v>
      </c>
      <c r="Q2120" t="s">
        <v>245</v>
      </c>
      <c r="R2120" t="s">
        <v>789</v>
      </c>
    </row>
    <row r="2121" spans="1:18" x14ac:dyDescent="0.25">
      <c r="A2121" t="s">
        <v>456</v>
      </c>
      <c r="B2121" s="6" t="s">
        <v>85</v>
      </c>
      <c r="C2121" s="4">
        <v>2.3519325892126953E-2</v>
      </c>
      <c r="D2121" s="4">
        <v>1.9337312204157239E-2</v>
      </c>
      <c r="E2121" s="4">
        <v>1.7878398161196313E-2</v>
      </c>
      <c r="F2121" s="4">
        <v>2.5094390507011854E-2</v>
      </c>
      <c r="G2121" s="4">
        <v>2.7994271882801715E-2</v>
      </c>
      <c r="H2121" s="4">
        <v>3.0322534769218694E-2</v>
      </c>
      <c r="I2121" s="4">
        <v>3.0747774566334991E-2</v>
      </c>
      <c r="J2121" s="4">
        <v>2.8232416559288782E-2</v>
      </c>
      <c r="K2121" s="4">
        <v>2.7831515942269937E-2</v>
      </c>
      <c r="L2121" s="4">
        <v>2.8069659735967131E-2</v>
      </c>
      <c r="M2121" s="4">
        <v>2.6895166994007732E-2</v>
      </c>
      <c r="N2121" t="s">
        <v>256</v>
      </c>
      <c r="O2121" t="s">
        <v>457</v>
      </c>
      <c r="P2121" t="s">
        <v>456</v>
      </c>
      <c r="Q2121" t="s">
        <v>245</v>
      </c>
      <c r="R2121" t="s">
        <v>789</v>
      </c>
    </row>
    <row r="2122" spans="1:18" x14ac:dyDescent="0.25">
      <c r="A2122" t="s">
        <v>456</v>
      </c>
      <c r="B2122" s="6" t="s">
        <v>116</v>
      </c>
      <c r="C2122" s="4">
        <v>0</v>
      </c>
      <c r="D2122" s="4">
        <v>0</v>
      </c>
      <c r="E2122" s="4">
        <v>0</v>
      </c>
      <c r="F2122" s="4">
        <v>1.9390507011866232E-3</v>
      </c>
      <c r="G2122" s="4">
        <v>3.2431571267445509E-2</v>
      </c>
      <c r="H2122" s="4">
        <v>5.8064350026481491E-2</v>
      </c>
      <c r="I2122" s="4">
        <v>7.4291732592083159E-2</v>
      </c>
      <c r="J2122" s="4">
        <v>7.3406969147062823E-2</v>
      </c>
      <c r="K2122" s="4">
        <v>7.3961170438357815E-2</v>
      </c>
      <c r="L2122" s="4">
        <v>7.6459790837889563E-2</v>
      </c>
      <c r="M2122" s="4">
        <v>7.5520021630796852E-2</v>
      </c>
      <c r="N2122" t="s">
        <v>256</v>
      </c>
      <c r="O2122" t="s">
        <v>457</v>
      </c>
      <c r="P2122" t="s">
        <v>456</v>
      </c>
      <c r="Q2122" t="s">
        <v>245</v>
      </c>
      <c r="R2122" t="s">
        <v>789</v>
      </c>
    </row>
    <row r="2123" spans="1:18" x14ac:dyDescent="0.25">
      <c r="A2123" t="s">
        <v>456</v>
      </c>
      <c r="B2123" s="6" t="s">
        <v>86</v>
      </c>
      <c r="C2123" s="4">
        <v>4.7845189818444357E-2</v>
      </c>
      <c r="D2123" s="4">
        <v>5.2689853879399069E-2</v>
      </c>
      <c r="E2123" s="4">
        <v>5.3597570152275911E-2</v>
      </c>
      <c r="F2123" s="4">
        <v>5.102211434735706E-2</v>
      </c>
      <c r="G2123" s="4">
        <v>4.7331193436200465E-2</v>
      </c>
      <c r="H2123" s="4">
        <v>6.4519213793915162E-2</v>
      </c>
      <c r="I2123" s="4">
        <v>8.2920307593165238E-2</v>
      </c>
      <c r="J2123" s="4">
        <v>9.0146068152497399E-2</v>
      </c>
      <c r="K2123" s="4">
        <v>9.2942679969621689E-2</v>
      </c>
      <c r="L2123" s="4">
        <v>9.502178499807297E-2</v>
      </c>
      <c r="M2123" s="4">
        <v>9.8524649469682479E-2</v>
      </c>
      <c r="N2123" t="s">
        <v>256</v>
      </c>
      <c r="O2123" t="s">
        <v>457</v>
      </c>
      <c r="P2123" t="s">
        <v>456</v>
      </c>
      <c r="Q2123" t="s">
        <v>245</v>
      </c>
      <c r="R2123" t="s">
        <v>789</v>
      </c>
    </row>
    <row r="2124" spans="1:18" x14ac:dyDescent="0.25">
      <c r="A2124" t="s">
        <v>456</v>
      </c>
      <c r="B2124" t="s">
        <v>159</v>
      </c>
      <c r="C2124" s="4">
        <v>0</v>
      </c>
      <c r="D2124" s="4">
        <v>0</v>
      </c>
      <c r="E2124" s="4">
        <v>0</v>
      </c>
      <c r="F2124" s="4">
        <v>0</v>
      </c>
      <c r="G2124" s="4">
        <v>3.9957419305782609E-2</v>
      </c>
      <c r="H2124" s="4">
        <v>5.4116646069950369E-2</v>
      </c>
      <c r="I2124" s="4">
        <v>5.9439157052376429E-2</v>
      </c>
      <c r="J2124" s="4">
        <v>5.5796469999897305E-2</v>
      </c>
      <c r="K2124" s="4">
        <v>5.5975832620607922E-2</v>
      </c>
      <c r="L2124" s="4">
        <v>5.7668515288692053E-2</v>
      </c>
      <c r="M2124" s="4">
        <v>5.5255545082310946E-2</v>
      </c>
      <c r="N2124" t="s">
        <v>256</v>
      </c>
      <c r="O2124" t="s">
        <v>457</v>
      </c>
      <c r="P2124" t="s">
        <v>456</v>
      </c>
      <c r="Q2124" t="s">
        <v>245</v>
      </c>
      <c r="R2124" t="s">
        <v>789</v>
      </c>
    </row>
    <row r="2125" spans="1:18" x14ac:dyDescent="0.25">
      <c r="A2125" t="s">
        <v>456</v>
      </c>
      <c r="B2125" s="6" t="s">
        <v>193</v>
      </c>
      <c r="C2125" s="4">
        <v>0</v>
      </c>
      <c r="D2125" s="4">
        <v>0</v>
      </c>
      <c r="E2125" s="4">
        <v>0</v>
      </c>
      <c r="F2125" s="4">
        <v>6.0679611650485427E-3</v>
      </c>
      <c r="G2125" s="4">
        <v>1.7651435740627087E-2</v>
      </c>
      <c r="H2125" s="4">
        <v>2.0596716294944972E-2</v>
      </c>
      <c r="I2125" s="4">
        <v>2.106407229112664E-2</v>
      </c>
      <c r="J2125" s="4">
        <v>1.9671680443426546E-2</v>
      </c>
      <c r="K2125" s="4">
        <v>1.9655721928599698E-2</v>
      </c>
      <c r="L2125" s="4">
        <v>1.9596699915734185E-2</v>
      </c>
      <c r="M2125" s="4">
        <v>1.8776733374141433E-2</v>
      </c>
      <c r="N2125" t="s">
        <v>256</v>
      </c>
      <c r="O2125" t="s">
        <v>457</v>
      </c>
      <c r="P2125" t="s">
        <v>456</v>
      </c>
      <c r="Q2125" t="s">
        <v>245</v>
      </c>
      <c r="R2125" t="s">
        <v>789</v>
      </c>
    </row>
    <row r="2126" spans="1:18" x14ac:dyDescent="0.25">
      <c r="A2126" t="s">
        <v>456</v>
      </c>
      <c r="B2126" s="6" t="s">
        <v>154</v>
      </c>
      <c r="C2126" s="4">
        <v>0</v>
      </c>
      <c r="D2126" s="4">
        <v>0</v>
      </c>
      <c r="E2126" s="4">
        <v>0</v>
      </c>
      <c r="F2126" s="4">
        <v>0</v>
      </c>
      <c r="G2126" s="4">
        <v>2.3915432423967575E-3</v>
      </c>
      <c r="H2126" s="4">
        <v>4.0494615429882905E-3</v>
      </c>
      <c r="I2126" s="4">
        <v>6.3548093893823591E-3</v>
      </c>
      <c r="J2126" s="4">
        <v>7.3069627478414478E-3</v>
      </c>
      <c r="K2126" s="4">
        <v>7.4473346418361119E-3</v>
      </c>
      <c r="L2126" s="4">
        <v>7.7681318465970314E-3</v>
      </c>
      <c r="M2126" s="4">
        <v>8.2705251601968306E-3</v>
      </c>
      <c r="N2126" t="s">
        <v>256</v>
      </c>
      <c r="O2126" t="s">
        <v>457</v>
      </c>
      <c r="P2126" t="s">
        <v>456</v>
      </c>
      <c r="Q2126" t="s">
        <v>245</v>
      </c>
      <c r="R2126" t="s">
        <v>789</v>
      </c>
    </row>
    <row r="2127" spans="1:18" x14ac:dyDescent="0.25">
      <c r="A2127" t="s">
        <v>456</v>
      </c>
      <c r="B2127" s="6" t="s">
        <v>117</v>
      </c>
      <c r="C2127" s="4">
        <v>0</v>
      </c>
      <c r="D2127" s="4">
        <v>0</v>
      </c>
      <c r="E2127" s="4">
        <v>0</v>
      </c>
      <c r="F2127" s="4">
        <v>0</v>
      </c>
      <c r="G2127" s="4">
        <v>1.3197842722991948E-3</v>
      </c>
      <c r="H2127" s="4">
        <v>2.2337629219874853E-3</v>
      </c>
      <c r="I2127" s="4">
        <v>3.5049077364778742E-3</v>
      </c>
      <c r="J2127" s="4">
        <v>4.0299293952577812E-3</v>
      </c>
      <c r="K2127" s="4">
        <v>4.1072709262987925E-3</v>
      </c>
      <c r="L2127" s="4">
        <v>4.2844918249100175E-3</v>
      </c>
      <c r="M2127" s="4">
        <v>4.5608685365789541E-3</v>
      </c>
      <c r="N2127" t="s">
        <v>256</v>
      </c>
      <c r="O2127" t="s">
        <v>457</v>
      </c>
      <c r="P2127" t="s">
        <v>456</v>
      </c>
      <c r="Q2127" t="s">
        <v>245</v>
      </c>
      <c r="R2127" t="s">
        <v>789</v>
      </c>
    </row>
    <row r="2128" spans="1:18" x14ac:dyDescent="0.25">
      <c r="A2128" t="s">
        <v>456</v>
      </c>
      <c r="B2128" s="6" t="s">
        <v>92</v>
      </c>
      <c r="C2128" s="4">
        <v>0</v>
      </c>
      <c r="D2128" s="4">
        <v>0</v>
      </c>
      <c r="E2128" s="4">
        <v>0</v>
      </c>
      <c r="F2128" s="4">
        <v>0</v>
      </c>
      <c r="G2128" s="4">
        <v>0</v>
      </c>
      <c r="H2128" s="4">
        <v>1.1557455030502756E-2</v>
      </c>
      <c r="I2128" s="4">
        <v>1.8135300595853551E-2</v>
      </c>
      <c r="J2128" s="4">
        <v>2.0853561324686215E-2</v>
      </c>
      <c r="K2128" s="4">
        <v>2.1252837398568727E-2</v>
      </c>
      <c r="L2128" s="4">
        <v>2.2169093391339559E-2</v>
      </c>
      <c r="M2128" s="4">
        <v>2.3601727960183311E-2</v>
      </c>
      <c r="N2128" t="s">
        <v>256</v>
      </c>
      <c r="O2128" t="s">
        <v>457</v>
      </c>
      <c r="P2128" t="s">
        <v>456</v>
      </c>
      <c r="Q2128" t="s">
        <v>245</v>
      </c>
      <c r="R2128" t="s">
        <v>789</v>
      </c>
    </row>
    <row r="2129" spans="1:18" x14ac:dyDescent="0.25">
      <c r="A2129" t="s">
        <v>456</v>
      </c>
      <c r="B2129" s="6" t="s">
        <v>200</v>
      </c>
      <c r="C2129" s="4">
        <v>0</v>
      </c>
      <c r="D2129" s="4">
        <v>0</v>
      </c>
      <c r="E2129" s="4">
        <v>0</v>
      </c>
      <c r="F2129" s="4">
        <v>1.7206040992448757E-3</v>
      </c>
      <c r="G2129" s="4">
        <v>1.6255614514368268E-2</v>
      </c>
      <c r="H2129" s="4">
        <v>3.0452490241079655E-2</v>
      </c>
      <c r="I2129" s="4">
        <v>5.0544155200854091E-2</v>
      </c>
      <c r="J2129" s="4">
        <v>6.376863575711085E-2</v>
      </c>
      <c r="K2129" s="4">
        <v>7.2631767310068637E-2</v>
      </c>
      <c r="L2129" s="4">
        <v>7.8837523760998646E-2</v>
      </c>
      <c r="M2129" s="4">
        <v>8.4153563636227086E-2</v>
      </c>
      <c r="N2129" t="s">
        <v>256</v>
      </c>
      <c r="O2129" t="s">
        <v>457</v>
      </c>
      <c r="P2129" t="s">
        <v>456</v>
      </c>
      <c r="Q2129" t="s">
        <v>245</v>
      </c>
      <c r="R2129" t="s">
        <v>789</v>
      </c>
    </row>
    <row r="2130" spans="1:18" x14ac:dyDescent="0.25">
      <c r="A2130" t="s">
        <v>456</v>
      </c>
      <c r="B2130" s="6" t="s">
        <v>178</v>
      </c>
      <c r="C2130" s="4">
        <v>0</v>
      </c>
      <c r="D2130" s="4">
        <v>9.0635933319613126E-3</v>
      </c>
      <c r="E2130" s="4">
        <v>8.3697035202692505E-3</v>
      </c>
      <c r="F2130" s="4">
        <v>6.5992448759439057E-3</v>
      </c>
      <c r="G2130" s="4">
        <v>4.4300577699809742E-3</v>
      </c>
      <c r="H2130" s="4">
        <v>3.6767590576511897E-3</v>
      </c>
      <c r="I2130" s="4">
        <v>5.2727508812765393E-3</v>
      </c>
      <c r="J2130" s="4">
        <v>7.3820153439107458E-3</v>
      </c>
      <c r="K2130" s="4">
        <v>1.027592688353245E-2</v>
      </c>
      <c r="L2130" s="4">
        <v>1.2050664001515478E-2</v>
      </c>
      <c r="M2130" s="4">
        <v>1.2927780928096381E-2</v>
      </c>
      <c r="N2130" t="s">
        <v>256</v>
      </c>
      <c r="O2130" t="s">
        <v>457</v>
      </c>
      <c r="P2130" t="s">
        <v>456</v>
      </c>
      <c r="Q2130" t="s">
        <v>245</v>
      </c>
      <c r="R2130" t="s">
        <v>789</v>
      </c>
    </row>
    <row r="2131" spans="1:18" x14ac:dyDescent="0.25">
      <c r="A2131" t="s">
        <v>456</v>
      </c>
      <c r="B2131" s="6" t="s">
        <v>113</v>
      </c>
      <c r="C2131" s="4">
        <v>0</v>
      </c>
      <c r="D2131" s="4">
        <v>0</v>
      </c>
      <c r="E2131" s="4">
        <v>0</v>
      </c>
      <c r="F2131" s="4">
        <v>0</v>
      </c>
      <c r="G2131" s="4">
        <v>4.7794656774621032E-4</v>
      </c>
      <c r="H2131" s="4">
        <v>3.7257988583534402E-3</v>
      </c>
      <c r="I2131" s="4">
        <v>6.9896170474711061E-3</v>
      </c>
      <c r="J2131" s="4">
        <v>1.0856555528255726E-2</v>
      </c>
      <c r="K2131" s="4">
        <v>1.3218649123523883E-2</v>
      </c>
      <c r="L2131" s="4">
        <v>1.3982898613206868E-2</v>
      </c>
      <c r="M2131" s="4">
        <v>1.5052055363824248E-2</v>
      </c>
      <c r="N2131" t="s">
        <v>256</v>
      </c>
      <c r="O2131" t="s">
        <v>457</v>
      </c>
      <c r="P2131" t="s">
        <v>456</v>
      </c>
      <c r="Q2131" t="s">
        <v>245</v>
      </c>
      <c r="R2131" t="s">
        <v>789</v>
      </c>
    </row>
    <row r="2132" spans="1:18" x14ac:dyDescent="0.25">
      <c r="A2132" t="s">
        <v>456</v>
      </c>
      <c r="B2132" s="6" t="s">
        <v>158</v>
      </c>
      <c r="C2132" s="4">
        <v>1.9317431937778132E-2</v>
      </c>
      <c r="D2132" s="4">
        <v>2.0423955546408728E-2</v>
      </c>
      <c r="E2132" s="4">
        <v>1.9886169295809331E-2</v>
      </c>
      <c r="F2132" s="4">
        <v>4.5660733549083066E-2</v>
      </c>
      <c r="G2132" s="4">
        <v>7.983156004294277E-2</v>
      </c>
      <c r="H2132" s="4">
        <v>9.0235685282175015E-2</v>
      </c>
      <c r="I2132" s="4">
        <v>9.1986515146414524E-2</v>
      </c>
      <c r="J2132" s="4">
        <v>8.7095772642775723E-2</v>
      </c>
      <c r="K2132" s="4">
        <v>8.6535196423363117E-2</v>
      </c>
      <c r="L2132" s="4">
        <v>8.5749279821278085E-2</v>
      </c>
      <c r="M2132" s="4">
        <v>8.342440049019792E-2</v>
      </c>
      <c r="N2132" t="s">
        <v>256</v>
      </c>
      <c r="O2132" t="s">
        <v>457</v>
      </c>
      <c r="P2132" t="s">
        <v>456</v>
      </c>
      <c r="Q2132" t="s">
        <v>245</v>
      </c>
      <c r="R2132" t="s">
        <v>789</v>
      </c>
    </row>
    <row r="2133" spans="1:18" x14ac:dyDescent="0.25">
      <c r="A2133" t="s">
        <v>451</v>
      </c>
      <c r="B2133" t="s">
        <v>124</v>
      </c>
      <c r="C2133" s="4">
        <f>(0.0783801436969301/(0.0783801436969301+0.261267145656433+0.0326583932070542)) * 4.0053091641672%</f>
        <v>8.4322298192993847E-3</v>
      </c>
      <c r="D2133" s="4">
        <f>(0.0783801436969301/(0.0783801436969301+0.261267145656433+0.0326583932070542)) * 3.3397661955405%</f>
        <v>7.0310867274536969E-3</v>
      </c>
      <c r="E2133" s="4">
        <f>(0.0783801436969301/(0.0783801436969301+0.261267145656433+0.0326583932070542)) * 2.77875335211881%</f>
        <v>5.8500070570922423E-3</v>
      </c>
      <c r="F2133" s="4">
        <f>(0.0783801436969301/(0.0783801436969301+0.261267145656433+0.0326583932070542)) * 4.81687857551633%</f>
        <v>1.0140797001087028E-2</v>
      </c>
      <c r="G2133" s="4">
        <f>(0.0783801436969301/(0.0783801436969301+0.261267145656433+0.0326583932070542)) * 7.65944582126541%</f>
        <v>1.6125149097400895E-2</v>
      </c>
      <c r="H2133" s="4">
        <f>(0.0783801436969301/(0.0783801436969301+0.261267145656433+0.0326583932070542)) * 9.42663474429751%</f>
        <v>1.9845546830100057E-2</v>
      </c>
      <c r="I2133" s="4">
        <f>(0.0783801436969301/(0.0783801436969301+0.261267145656433+0.0326583932070542)) * 10.5456478040794%</f>
        <v>2.2201363798061934E-2</v>
      </c>
      <c r="J2133" s="4">
        <f>(0.0783801436969301/(0.0783801436969301+0.261267145656433+0.0326583932070542)) * 11.8989272607833%</f>
        <v>2.5050373180596466E-2</v>
      </c>
      <c r="K2133" s="4">
        <f>(0.0783801436969301/(0.0783801436969301+0.261267145656433+0.0326583932070542)) * 13.056130740488%</f>
        <v>2.7486591032606367E-2</v>
      </c>
      <c r="L2133" s="4">
        <f>(0.0783801436969301/(0.0783801436969301+0.261267145656433+0.0326583932070542)) * 13.7160062258397%</f>
        <v>2.8875802580715208E-2</v>
      </c>
      <c r="M2133" s="4">
        <f>(0.0783801436969301/(0.0783801436969301+0.261267145656433+0.0326583932070542)) * 14.0969673556114%</f>
        <v>2.9677826011813527E-2</v>
      </c>
      <c r="N2133" t="s">
        <v>452</v>
      </c>
      <c r="O2133" t="s">
        <v>449</v>
      </c>
      <c r="P2133" t="s">
        <v>451</v>
      </c>
      <c r="Q2133" t="s">
        <v>245</v>
      </c>
      <c r="R2133" t="s">
        <v>789</v>
      </c>
    </row>
    <row r="2134" spans="1:18" x14ac:dyDescent="0.25">
      <c r="A2134" s="38" t="s">
        <v>451</v>
      </c>
      <c r="B2134" s="38" t="s">
        <v>124</v>
      </c>
      <c r="C2134" s="35">
        <f>(0.261267145656433/(0.0783801436969301+0.261267145656433+0.0326583932070542)) * 4.0053091641672%</f>
        <v>2.8107432730997878E-2</v>
      </c>
      <c r="D2134" s="35">
        <f>(0.261267145656433/(0.0783801436969301+0.261267145656433+0.0326583932070542)) * 3.3397661955405%</f>
        <v>2.3436955758178932E-2</v>
      </c>
      <c r="E2134" s="35">
        <f>(0.261267145656433/(0.0783801436969301+0.261267145656433+0.0326583932070542)) * 2.77875335211881%</f>
        <v>1.9500023523640761E-2</v>
      </c>
      <c r="F2134" s="35">
        <f>(0.261267145656433/(0.0783801436969301+0.261267145656433+0.0326583932070542)) * 4.81687857551633%</f>
        <v>3.3802656670290011E-2</v>
      </c>
      <c r="G2134" s="35">
        <f>(0.261267145656433/(0.0783801436969301+0.261267145656433+0.0326583932070542)) * 7.65944582126541%</f>
        <v>5.3750496991336182E-2</v>
      </c>
      <c r="H2134" s="35">
        <f>(0.261267145656433/(0.0783801436969301+0.261267145656433+0.0326583932070542)) * 9.42663474429751%</f>
        <v>6.6151822767000032E-2</v>
      </c>
      <c r="I2134" s="35">
        <f>(0.261267145656433/(0.0783801436969301+0.261267145656433+0.0326583932070542)) * 10.5456478040794%</f>
        <v>7.4004545993539603E-2</v>
      </c>
      <c r="J2134" s="35">
        <f>(0.261267145656433/(0.0783801436969301+0.261267145656433+0.0326583932070542)) * 11.8989272607833%</f>
        <v>8.3501243935321351E-2</v>
      </c>
      <c r="K2134" s="35">
        <f>(0.261267145656433/(0.0783801436969301+0.261267145656433+0.0326583932070542)) * 13.056130740488%</f>
        <v>9.1621970108687667E-2</v>
      </c>
      <c r="L2134" s="35">
        <f>(0.261267145656433/(0.0783801436969301+0.261267145656433+0.0326583932070542)) * 13.7160062258397%</f>
        <v>9.6252675269050458E-2</v>
      </c>
      <c r="M2134" s="35">
        <f>(0.261267145656433/(0.0783801436969301+0.261267145656433+0.0326583932070542)) * 14.0969673556114%</f>
        <v>9.8926086706044844E-2</v>
      </c>
      <c r="N2134" s="38" t="s">
        <v>452</v>
      </c>
      <c r="O2134" s="38" t="s">
        <v>448</v>
      </c>
      <c r="P2134" s="38" t="s">
        <v>451</v>
      </c>
      <c r="Q2134" s="38" t="s">
        <v>245</v>
      </c>
      <c r="R2134" t="s">
        <v>789</v>
      </c>
    </row>
    <row r="2135" spans="1:18" x14ac:dyDescent="0.25">
      <c r="A2135" t="s">
        <v>451</v>
      </c>
      <c r="B2135" t="s">
        <v>124</v>
      </c>
      <c r="C2135" s="4">
        <f>(0.0326583932070542/(0.0783801436969301+0.261267145656433+0.0326583932070542)) * 4.0053091641672%</f>
        <v>3.5134290913747426E-3</v>
      </c>
      <c r="D2135" s="4">
        <f>(0.0326583932070542/(0.0783801436969301+0.261267145656433+0.0326583932070542)) * 3.3397661955405%</f>
        <v>2.929619469772373E-3</v>
      </c>
      <c r="E2135" s="4">
        <f>(0.0326583932070542/(0.0783801436969301+0.261267145656433+0.0326583932070542)) * 2.77875335211881%</f>
        <v>2.4375029404551003E-3</v>
      </c>
      <c r="F2135" s="4">
        <f>(0.0326583932070542/(0.0783801436969301+0.261267145656433+0.0326583932070542)) * 4.81687857551633%</f>
        <v>4.225332083786261E-3</v>
      </c>
      <c r="G2135" s="4">
        <f>(0.0326583932070542/(0.0783801436969301+0.261267145656433+0.0326583932070542)) * 7.65944582126541%</f>
        <v>6.7188121239170374E-3</v>
      </c>
      <c r="H2135" s="4">
        <f>(0.0326583932070542/(0.0783801436969301+0.261267145656433+0.0326583932070542)) * 9.42663474429751%</f>
        <v>8.2689778458750213E-3</v>
      </c>
      <c r="I2135" s="4">
        <f>(0.0326583932070542/(0.0783801436969301+0.261267145656433+0.0326583932070542)) * 10.5456478040794%</f>
        <v>9.2505682491924694E-3</v>
      </c>
      <c r="J2135" s="4">
        <f>(0.0326583932070542/(0.0783801436969301+0.261267145656433+0.0326583932070542)) * 11.8989272607833%</f>
        <v>1.0437655491915191E-2</v>
      </c>
      <c r="K2135" s="4">
        <f>(0.0326583932070542/(0.0783801436969301+0.261267145656433+0.0326583932070542)) * 13.056130740488%</f>
        <v>1.1452746263585983E-2</v>
      </c>
      <c r="L2135" s="4">
        <f>(0.0326583932070542/(0.0783801436969301+0.261267145656433+0.0326583932070542)) * 13.7160062258397%</f>
        <v>1.2031584408631333E-2</v>
      </c>
      <c r="M2135" s="4">
        <f>(0.0326583932070542/(0.0783801436969301+0.261267145656433+0.0326583932070542)) * 14.0969673556114%</f>
        <v>1.2365760838255633E-2</v>
      </c>
      <c r="N2135" t="s">
        <v>452</v>
      </c>
      <c r="O2135" t="s">
        <v>450</v>
      </c>
      <c r="P2135" t="s">
        <v>451</v>
      </c>
      <c r="Q2135" t="s">
        <v>245</v>
      </c>
      <c r="R2135" t="s">
        <v>789</v>
      </c>
    </row>
    <row r="2136" spans="1:18" x14ac:dyDescent="0.25">
      <c r="A2136" t="s">
        <v>451</v>
      </c>
      <c r="B2136" t="s">
        <v>83</v>
      </c>
      <c r="C2136" s="4">
        <v>0</v>
      </c>
      <c r="D2136" s="4">
        <v>0</v>
      </c>
      <c r="E2136" s="4">
        <v>1.1991396795578608E-2</v>
      </c>
      <c r="F2136" s="4">
        <v>3.6663998712865034E-2</v>
      </c>
      <c r="G2136" s="4">
        <v>5.6828700247827782E-2</v>
      </c>
      <c r="H2136" s="4">
        <v>6.7764650857601499E-2</v>
      </c>
      <c r="I2136" s="4">
        <v>7.928391791686254E-2</v>
      </c>
      <c r="J2136" s="4">
        <v>7.9835924897936686E-2</v>
      </c>
      <c r="K2136" s="4">
        <v>8.1407310164422389E-2</v>
      </c>
      <c r="L2136" s="4">
        <v>7.9525873566544017E-2</v>
      </c>
      <c r="M2136" s="4">
        <v>7.8593244682783905E-2</v>
      </c>
      <c r="N2136" t="s">
        <v>254</v>
      </c>
      <c r="O2136" t="s">
        <v>454</v>
      </c>
      <c r="P2136" t="s">
        <v>455</v>
      </c>
      <c r="Q2136" t="s">
        <v>245</v>
      </c>
      <c r="R2136" t="s">
        <v>789</v>
      </c>
    </row>
    <row r="2137" spans="1:18" x14ac:dyDescent="0.25">
      <c r="A2137" s="38" t="s">
        <v>451</v>
      </c>
      <c r="B2137" s="38" t="s">
        <v>85</v>
      </c>
      <c r="C2137" s="35">
        <v>2.3661385295237749E-3</v>
      </c>
      <c r="D2137" s="35">
        <v>2.2127426207202957E-3</v>
      </c>
      <c r="E2137" s="35">
        <v>1.9398047943806924E-3</v>
      </c>
      <c r="F2137" s="35">
        <v>1.5274544665823512E-3</v>
      </c>
      <c r="G2137" s="35">
        <v>1.1197038010211699E-3</v>
      </c>
      <c r="H2137" s="35">
        <v>8.514145401169504E-4</v>
      </c>
      <c r="I2137" s="35">
        <v>7.1432959453223571E-4</v>
      </c>
      <c r="J2137" s="35">
        <v>6.4488170290041965E-4</v>
      </c>
      <c r="K2137" s="35">
        <v>6.0533982365240234E-4</v>
      </c>
      <c r="L2137" s="35">
        <v>5.8411055733103537E-4</v>
      </c>
      <c r="M2137" s="35">
        <v>5.7374870189356184E-4</v>
      </c>
      <c r="N2137" s="38" t="s">
        <v>242</v>
      </c>
      <c r="O2137" s="38" t="s">
        <v>770</v>
      </c>
      <c r="P2137" s="38" t="s">
        <v>455</v>
      </c>
      <c r="Q2137" s="38" t="s">
        <v>245</v>
      </c>
      <c r="R2137" t="s">
        <v>789</v>
      </c>
    </row>
    <row r="2138" spans="1:18" x14ac:dyDescent="0.25">
      <c r="A2138" t="s">
        <v>451</v>
      </c>
      <c r="B2138" t="s">
        <v>116</v>
      </c>
      <c r="C2138" s="4">
        <v>0</v>
      </c>
      <c r="D2138" s="4">
        <v>0</v>
      </c>
      <c r="E2138" s="4">
        <v>0</v>
      </c>
      <c r="F2138" s="4">
        <v>0</v>
      </c>
      <c r="G2138" s="4">
        <v>0</v>
      </c>
      <c r="H2138" s="4">
        <v>0</v>
      </c>
      <c r="I2138" s="4">
        <v>2.8944635170446188E-3</v>
      </c>
      <c r="J2138" s="4">
        <v>6.0971415403558351E-3</v>
      </c>
      <c r="K2138" s="4">
        <v>6.9501082952944503E-3</v>
      </c>
      <c r="L2138" s="4">
        <v>7.4953066716718459E-3</v>
      </c>
      <c r="M2138" s="4">
        <v>7.749814966043639E-3</v>
      </c>
      <c r="N2138" t="s">
        <v>254</v>
      </c>
      <c r="O2138" t="s">
        <v>454</v>
      </c>
      <c r="P2138" t="s">
        <v>455</v>
      </c>
      <c r="Q2138" t="s">
        <v>245</v>
      </c>
      <c r="R2138" t="s">
        <v>789</v>
      </c>
    </row>
    <row r="2139" spans="1:18" x14ac:dyDescent="0.25">
      <c r="A2139" s="38" t="s">
        <v>451</v>
      </c>
      <c r="B2139" s="38" t="s">
        <v>145</v>
      </c>
      <c r="C2139" s="35">
        <v>0.23819127863872663</v>
      </c>
      <c r="D2139" s="35">
        <v>0.22110071363118872</v>
      </c>
      <c r="E2139" s="35">
        <v>0.24911177359415199</v>
      </c>
      <c r="F2139" s="35">
        <v>0.2216845582499852</v>
      </c>
      <c r="G2139" s="35">
        <v>0.17549490908005133</v>
      </c>
      <c r="H2139" s="35">
        <v>0.14692576913951513</v>
      </c>
      <c r="I2139" s="35">
        <v>0.13493686040713937</v>
      </c>
      <c r="J2139" s="35">
        <v>0.12591315249130694</v>
      </c>
      <c r="K2139" s="35">
        <v>0.12081573980395865</v>
      </c>
      <c r="L2139" s="35">
        <v>0.11925590545508638</v>
      </c>
      <c r="M2139" s="35">
        <v>0.11867035650831839</v>
      </c>
      <c r="N2139" s="38" t="s">
        <v>311</v>
      </c>
      <c r="O2139" s="38" t="s">
        <v>447</v>
      </c>
      <c r="P2139" s="38" t="s">
        <v>451</v>
      </c>
      <c r="Q2139" s="38" t="s">
        <v>245</v>
      </c>
      <c r="R2139" t="s">
        <v>789</v>
      </c>
    </row>
    <row r="2140" spans="1:18" x14ac:dyDescent="0.25">
      <c r="A2140" t="s">
        <v>451</v>
      </c>
      <c r="B2140" t="s">
        <v>86</v>
      </c>
      <c r="C2140" s="4">
        <v>0.10641764373164835</v>
      </c>
      <c r="D2140" s="4">
        <v>0.11716428789603756</v>
      </c>
      <c r="E2140" s="4">
        <v>9.9854344482106158E-2</v>
      </c>
      <c r="F2140" s="4">
        <v>9.0471128055672673E-2</v>
      </c>
      <c r="G2140" s="4">
        <v>8.312382431100894E-2</v>
      </c>
      <c r="H2140" s="4">
        <v>8.4700421279914465E-2</v>
      </c>
      <c r="I2140" s="4">
        <v>9.0777004873156528E-2</v>
      </c>
      <c r="J2140" s="4">
        <v>9.6240855577452836E-2</v>
      </c>
      <c r="K2140" s="4">
        <v>9.8935530098101354E-2</v>
      </c>
      <c r="L2140" s="4">
        <v>0.10183656041436025</v>
      </c>
      <c r="M2140" s="4">
        <v>0.10473476553759298</v>
      </c>
      <c r="N2140" t="s">
        <v>254</v>
      </c>
      <c r="O2140" t="s">
        <v>453</v>
      </c>
      <c r="P2140" t="s">
        <v>451</v>
      </c>
      <c r="Q2140" t="s">
        <v>245</v>
      </c>
      <c r="R2140" t="s">
        <v>789</v>
      </c>
    </row>
    <row r="2141" spans="1:18" x14ac:dyDescent="0.25">
      <c r="A2141" t="s">
        <v>451</v>
      </c>
      <c r="B2141" t="s">
        <v>86</v>
      </c>
      <c r="C2141" s="4">
        <v>0.60125382807412098</v>
      </c>
      <c r="D2141" s="4">
        <v>0.61742981701052402</v>
      </c>
      <c r="E2141" s="4">
        <v>0.60186221260260553</v>
      </c>
      <c r="F2141" s="4">
        <v>0.58894061868015712</v>
      </c>
      <c r="G2141" s="4">
        <v>0.5773640679585561</v>
      </c>
      <c r="H2141" s="4">
        <v>0.56334864744286162</v>
      </c>
      <c r="I2141" s="4">
        <v>0.5357195751548548</v>
      </c>
      <c r="J2141" s="4">
        <v>0.51488644922975313</v>
      </c>
      <c r="K2141" s="4">
        <v>0.4988972726212465</v>
      </c>
      <c r="L2141" s="4">
        <v>0.48862522571005457</v>
      </c>
      <c r="M2141" s="4">
        <v>0.48157406043868822</v>
      </c>
      <c r="N2141" t="s">
        <v>254</v>
      </c>
      <c r="O2141" t="s">
        <v>454</v>
      </c>
      <c r="P2141" t="s">
        <v>455</v>
      </c>
      <c r="Q2141" t="s">
        <v>245</v>
      </c>
      <c r="R2141" t="s">
        <v>789</v>
      </c>
    </row>
    <row r="2142" spans="1:18" x14ac:dyDescent="0.25">
      <c r="A2142" t="s">
        <v>451</v>
      </c>
      <c r="B2142" t="s">
        <v>154</v>
      </c>
      <c r="C2142" s="4">
        <v>0</v>
      </c>
      <c r="D2142" s="4">
        <v>0</v>
      </c>
      <c r="E2142" s="4">
        <v>0</v>
      </c>
      <c r="F2142" s="4">
        <v>0</v>
      </c>
      <c r="G2142" s="4">
        <v>1.972918097399301E-3</v>
      </c>
      <c r="H2142" s="4">
        <v>3.7501972443684615E-3</v>
      </c>
      <c r="I2142" s="4">
        <v>4.404556279885766E-3</v>
      </c>
      <c r="J2142" s="4">
        <v>4.8284442701830767E-3</v>
      </c>
      <c r="K2142" s="4">
        <v>5.0658872042057381E-3</v>
      </c>
      <c r="L2142" s="4">
        <v>5.1456246030482005E-3</v>
      </c>
      <c r="M2142" s="4">
        <v>5.0543435645476857E-3</v>
      </c>
      <c r="N2142" t="s">
        <v>254</v>
      </c>
      <c r="O2142" t="s">
        <v>454</v>
      </c>
      <c r="P2142" t="s">
        <v>455</v>
      </c>
      <c r="Q2142" t="s">
        <v>245</v>
      </c>
      <c r="R2142" t="s">
        <v>789</v>
      </c>
    </row>
    <row r="2143" spans="1:18" x14ac:dyDescent="0.25">
      <c r="A2143" t="s">
        <v>451</v>
      </c>
      <c r="B2143" t="s">
        <v>117</v>
      </c>
      <c r="C2143" s="4">
        <v>0</v>
      </c>
      <c r="D2143" s="4">
        <v>0</v>
      </c>
      <c r="E2143" s="4">
        <v>0</v>
      </c>
      <c r="F2143" s="4">
        <v>0</v>
      </c>
      <c r="G2143" s="4">
        <v>0</v>
      </c>
      <c r="H2143" s="4">
        <v>3.7519000734486952E-4</v>
      </c>
      <c r="I2143" s="4">
        <v>1.6253379374256798E-3</v>
      </c>
      <c r="J2143" s="4">
        <v>3.7871752805665321E-3</v>
      </c>
      <c r="K2143" s="4">
        <v>6.5320202570918586E-3</v>
      </c>
      <c r="L2143" s="4">
        <v>9.0046483518152389E-3</v>
      </c>
      <c r="M2143" s="4">
        <v>1.0613585986761705E-2</v>
      </c>
      <c r="N2143" s="38" t="s">
        <v>242</v>
      </c>
      <c r="O2143" s="38" t="s">
        <v>770</v>
      </c>
      <c r="P2143" s="38" t="s">
        <v>455</v>
      </c>
      <c r="Q2143" s="38" t="s">
        <v>245</v>
      </c>
      <c r="R2143" t="s">
        <v>789</v>
      </c>
    </row>
    <row r="2144" spans="1:18" x14ac:dyDescent="0.25">
      <c r="A2144" t="s">
        <v>451</v>
      </c>
      <c r="B2144" t="s">
        <v>117</v>
      </c>
      <c r="C2144" s="4">
        <v>0</v>
      </c>
      <c r="D2144" s="4">
        <v>0</v>
      </c>
      <c r="E2144" s="4">
        <v>0</v>
      </c>
      <c r="F2144" s="4">
        <v>0</v>
      </c>
      <c r="G2144" s="4">
        <v>3.9450897255979226E-3</v>
      </c>
      <c r="H2144" s="4">
        <v>7.0003303488415667E-3</v>
      </c>
      <c r="I2144" s="4">
        <v>7.1313904520801533E-3</v>
      </c>
      <c r="J2144" s="4">
        <v>7.1955900409628832E-3</v>
      </c>
      <c r="K2144" s="4">
        <v>7.1099180087386832E-3</v>
      </c>
      <c r="L2144" s="4">
        <v>6.8605731993721204E-3</v>
      </c>
      <c r="M2144" s="4">
        <v>6.7388697533071838E-3</v>
      </c>
      <c r="N2144" t="s">
        <v>254</v>
      </c>
      <c r="O2144" t="s">
        <v>454</v>
      </c>
      <c r="P2144" t="s">
        <v>455</v>
      </c>
      <c r="Q2144" t="s">
        <v>245</v>
      </c>
      <c r="R2144" t="s">
        <v>789</v>
      </c>
    </row>
    <row r="2145" spans="1:18" x14ac:dyDescent="0.25">
      <c r="A2145" t="s">
        <v>451</v>
      </c>
      <c r="B2145" t="s">
        <v>178</v>
      </c>
      <c r="C2145" s="4">
        <v>0</v>
      </c>
      <c r="D2145" s="4">
        <v>0</v>
      </c>
      <c r="E2145" s="4">
        <v>0</v>
      </c>
      <c r="F2145" s="4">
        <v>0</v>
      </c>
      <c r="G2145" s="4">
        <v>0</v>
      </c>
      <c r="H2145" s="4">
        <v>0</v>
      </c>
      <c r="I2145" s="4">
        <v>2.5168212714019107E-3</v>
      </c>
      <c r="J2145" s="4">
        <v>5.6809778814174306E-3</v>
      </c>
      <c r="K2145" s="4">
        <v>7.4654542651638629E-3</v>
      </c>
      <c r="L2145" s="4">
        <v>8.7472502995513644E-3</v>
      </c>
      <c r="M2145" s="4">
        <v>9.6030232731598442E-3</v>
      </c>
      <c r="N2145" t="s">
        <v>254</v>
      </c>
      <c r="O2145" t="s">
        <v>454</v>
      </c>
      <c r="P2145" t="s">
        <v>455</v>
      </c>
      <c r="Q2145" t="s">
        <v>245</v>
      </c>
      <c r="R2145" t="s">
        <v>789</v>
      </c>
    </row>
    <row r="2146" spans="1:18" x14ac:dyDescent="0.25">
      <c r="A2146" t="s">
        <v>451</v>
      </c>
      <c r="B2146" t="s">
        <v>788</v>
      </c>
      <c r="C2146" s="4">
        <v>0</v>
      </c>
      <c r="D2146" s="4">
        <v>0</v>
      </c>
      <c r="E2146" s="4">
        <v>0</v>
      </c>
      <c r="F2146" s="4">
        <v>6.9427897021056475E-3</v>
      </c>
      <c r="G2146" s="4">
        <v>1.8661730017019491E-2</v>
      </c>
      <c r="H2146" s="4">
        <v>1.7845081151157873E-2</v>
      </c>
      <c r="I2146" s="4">
        <v>1.6775792417724717E-2</v>
      </c>
      <c r="J2146" s="4">
        <v>1.6284982682776672E-2</v>
      </c>
      <c r="K2146" s="4">
        <v>1.5286444786752907E-2</v>
      </c>
      <c r="L2146" s="4">
        <v>1.475034920076152E-2</v>
      </c>
      <c r="M2146" s="4">
        <v>1.4488684719350817E-2</v>
      </c>
      <c r="N2146" t="s">
        <v>254</v>
      </c>
      <c r="O2146" t="s">
        <v>454</v>
      </c>
      <c r="P2146" t="s">
        <v>455</v>
      </c>
      <c r="Q2146" t="s">
        <v>245</v>
      </c>
      <c r="R2146" t="s">
        <v>789</v>
      </c>
    </row>
    <row r="2147" spans="1:18" x14ac:dyDescent="0.25">
      <c r="A2147" t="s">
        <v>451</v>
      </c>
      <c r="B2147" t="s">
        <v>112</v>
      </c>
      <c r="C2147" s="4">
        <v>4.5069305324262396E-4</v>
      </c>
      <c r="D2147" s="4">
        <v>1.7354844084080752E-5</v>
      </c>
      <c r="E2147" s="4">
        <v>6.4660159812689741E-4</v>
      </c>
      <c r="F2147" s="4">
        <v>5.0915148886078367E-4</v>
      </c>
      <c r="G2147" s="4">
        <v>3.7323460034038999E-4</v>
      </c>
      <c r="H2147" s="4">
        <v>2.8380484670565011E-4</v>
      </c>
      <c r="I2147" s="4">
        <v>2.3810986484407862E-4</v>
      </c>
      <c r="J2147" s="4">
        <v>2.1496056763347323E-4</v>
      </c>
      <c r="K2147" s="4">
        <v>2.017799412174674E-4</v>
      </c>
      <c r="L2147" s="4">
        <v>1.9470351911034519E-4</v>
      </c>
      <c r="M2147" s="4">
        <v>1.9124956729785395E-4</v>
      </c>
      <c r="N2147" t="s">
        <v>254</v>
      </c>
      <c r="O2147" t="s">
        <v>454</v>
      </c>
      <c r="P2147" t="s">
        <v>455</v>
      </c>
      <c r="Q2147" t="s">
        <v>245</v>
      </c>
      <c r="R2147" t="s">
        <v>789</v>
      </c>
    </row>
    <row r="2148" spans="1:18" x14ac:dyDescent="0.25">
      <c r="A2148" t="s">
        <v>451</v>
      </c>
      <c r="B2148" t="s">
        <v>113</v>
      </c>
      <c r="C2148" s="4">
        <v>1.1267326331065598E-2</v>
      </c>
      <c r="D2148" s="4">
        <v>8.6774220420403735E-3</v>
      </c>
      <c r="E2148" s="4">
        <v>6.8063326118620775E-3</v>
      </c>
      <c r="F2148" s="4">
        <v>5.0915148886078376E-3</v>
      </c>
      <c r="G2148" s="4">
        <v>3.7323460034038997E-3</v>
      </c>
      <c r="H2148" s="4">
        <v>2.8380484670565012E-3</v>
      </c>
      <c r="I2148" s="4">
        <v>2.3810986484407858E-3</v>
      </c>
      <c r="J2148" s="4">
        <v>2.1496056763347323E-3</v>
      </c>
      <c r="K2148" s="4">
        <v>2.0177994121746744E-3</v>
      </c>
      <c r="L2148" s="4">
        <v>1.9470351911034516E-3</v>
      </c>
      <c r="M2148" s="4">
        <v>1.9124956729785398E-3</v>
      </c>
      <c r="N2148" s="38" t="s">
        <v>242</v>
      </c>
      <c r="O2148" s="38" t="s">
        <v>770</v>
      </c>
      <c r="P2148" s="38" t="s">
        <v>455</v>
      </c>
      <c r="Q2148" s="38" t="s">
        <v>245</v>
      </c>
      <c r="R2148" t="s">
        <v>789</v>
      </c>
    </row>
    <row r="2149" spans="1:18" x14ac:dyDescent="0.25">
      <c r="A2149" t="s">
        <v>451</v>
      </c>
      <c r="B2149" t="s">
        <v>113</v>
      </c>
      <c r="C2149" s="4">
        <v>0</v>
      </c>
      <c r="D2149" s="4">
        <v>0</v>
      </c>
      <c r="E2149" s="4">
        <v>0</v>
      </c>
      <c r="F2149" s="4">
        <v>0</v>
      </c>
      <c r="G2149" s="4">
        <v>7.8901794511958441E-4</v>
      </c>
      <c r="H2149" s="4">
        <v>1.0050097231540484E-2</v>
      </c>
      <c r="I2149" s="4">
        <v>1.5144263623813081E-2</v>
      </c>
      <c r="J2149" s="4">
        <v>1.7250585552586236E-2</v>
      </c>
      <c r="K2149" s="4">
        <v>1.8148087913099027E-2</v>
      </c>
      <c r="L2149" s="4">
        <v>1.8866771001792446E-2</v>
      </c>
      <c r="M2149" s="4">
        <v>1.853208307116205E-2</v>
      </c>
      <c r="N2149" t="s">
        <v>254</v>
      </c>
      <c r="O2149" t="s">
        <v>454</v>
      </c>
      <c r="P2149" t="s">
        <v>455</v>
      </c>
      <c r="Q2149" t="s">
        <v>245</v>
      </c>
      <c r="R2149" t="s">
        <v>789</v>
      </c>
    </row>
    <row r="2150" spans="1:18" x14ac:dyDescent="0.25">
      <c r="A2150" t="s">
        <v>804</v>
      </c>
      <c r="B2150" t="s">
        <v>124</v>
      </c>
      <c r="C2150" s="4">
        <f>(0.0783801436969301/(0.0783801436969301+0.261267145656433+0.0326583932070542)) * 4.0053091641672%</f>
        <v>8.4322298192993847E-3</v>
      </c>
      <c r="D2150" s="4">
        <f>(0.0783801436969301/(0.0783801436969301+0.261267145656433+0.0326583932070542)) * 3.3397661955405%</f>
        <v>7.0310867274536969E-3</v>
      </c>
      <c r="E2150" s="4">
        <f>(0.0783801436969301/(0.0783801436969301+0.261267145656433+0.0326583932070542)) * 2.77875335211881%</f>
        <v>5.8500070570922423E-3</v>
      </c>
      <c r="F2150" s="4">
        <f>(0.0783801436969301/(0.0783801436969301+0.261267145656433+0.0326583932070542)) * 4.81687857551633%</f>
        <v>1.0140797001087028E-2</v>
      </c>
      <c r="G2150" s="4">
        <f>(0.0783801436969301/(0.0783801436969301+0.261267145656433+0.0326583932070542)) * 7.65944582126541%</f>
        <v>1.6125149097400895E-2</v>
      </c>
      <c r="H2150" s="4">
        <f>(0.0783801436969301/(0.0783801436969301+0.261267145656433+0.0326583932070542)) * 9.42663474429751%</f>
        <v>1.9845546830100057E-2</v>
      </c>
      <c r="I2150" s="4">
        <f>(0.0783801436969301/(0.0783801436969301+0.261267145656433+0.0326583932070542)) * 10.5456478040794%</f>
        <v>2.2201363798061934E-2</v>
      </c>
      <c r="J2150" s="4">
        <f>(0.0783801436969301/(0.0783801436969301+0.261267145656433+0.0326583932070542)) * 11.8989272607833%</f>
        <v>2.5050373180596466E-2</v>
      </c>
      <c r="K2150" s="4">
        <f>(0.0783801436969301/(0.0783801436969301+0.261267145656433+0.0326583932070542)) * 13.056130740488%</f>
        <v>2.7486591032606367E-2</v>
      </c>
      <c r="L2150" s="4">
        <f>(0.0783801436969301/(0.0783801436969301+0.261267145656433+0.0326583932070542)) * 13.7160062258397%</f>
        <v>2.8875802580715208E-2</v>
      </c>
      <c r="M2150" s="4">
        <f>(0.0783801436969301/(0.0783801436969301+0.261267145656433+0.0326583932070542)) * 14.0969673556114%</f>
        <v>2.9677826011813527E-2</v>
      </c>
      <c r="N2150" t="s">
        <v>242</v>
      </c>
      <c r="O2150" t="s">
        <v>805</v>
      </c>
      <c r="P2150" t="s">
        <v>804</v>
      </c>
      <c r="Q2150" t="s">
        <v>245</v>
      </c>
      <c r="R2150" t="s">
        <v>789</v>
      </c>
    </row>
    <row r="2151" spans="1:18" x14ac:dyDescent="0.25">
      <c r="A2151" t="s">
        <v>804</v>
      </c>
      <c r="B2151" s="38" t="s">
        <v>124</v>
      </c>
      <c r="C2151" s="35">
        <f>(0.261267145656433/(0.0783801436969301+0.261267145656433+0.0326583932070542)) * 4.0053091641672%</f>
        <v>2.8107432730997878E-2</v>
      </c>
      <c r="D2151" s="35">
        <f>(0.261267145656433/(0.0783801436969301+0.261267145656433+0.0326583932070542)) * 3.3397661955405%</f>
        <v>2.3436955758178932E-2</v>
      </c>
      <c r="E2151" s="35">
        <f>(0.261267145656433/(0.0783801436969301+0.261267145656433+0.0326583932070542)) * 2.77875335211881%</f>
        <v>1.9500023523640761E-2</v>
      </c>
      <c r="F2151" s="35">
        <f>(0.261267145656433/(0.0783801436969301+0.261267145656433+0.0326583932070542)) * 4.81687857551633%</f>
        <v>3.3802656670290011E-2</v>
      </c>
      <c r="G2151" s="35">
        <f>(0.261267145656433/(0.0783801436969301+0.261267145656433+0.0326583932070542)) * 7.65944582126541%</f>
        <v>5.3750496991336182E-2</v>
      </c>
      <c r="H2151" s="35">
        <f>(0.261267145656433/(0.0783801436969301+0.261267145656433+0.0326583932070542)) * 9.42663474429751%</f>
        <v>6.6151822767000032E-2</v>
      </c>
      <c r="I2151" s="35">
        <f>(0.261267145656433/(0.0783801436969301+0.261267145656433+0.0326583932070542)) * 10.5456478040794%</f>
        <v>7.4004545993539603E-2</v>
      </c>
      <c r="J2151" s="35">
        <f>(0.261267145656433/(0.0783801436969301+0.261267145656433+0.0326583932070542)) * 11.8989272607833%</f>
        <v>8.3501243935321351E-2</v>
      </c>
      <c r="K2151" s="35">
        <f>(0.261267145656433/(0.0783801436969301+0.261267145656433+0.0326583932070542)) * 13.056130740488%</f>
        <v>9.1621970108687667E-2</v>
      </c>
      <c r="L2151" s="35">
        <f>(0.261267145656433/(0.0783801436969301+0.261267145656433+0.0326583932070542)) * 13.7160062258397%</f>
        <v>9.6252675269050458E-2</v>
      </c>
      <c r="M2151" s="35">
        <f>(0.261267145656433/(0.0783801436969301+0.261267145656433+0.0326583932070542)) * 14.0969673556114%</f>
        <v>9.8926086706044844E-2</v>
      </c>
      <c r="N2151" t="s">
        <v>242</v>
      </c>
      <c r="O2151" t="s">
        <v>805</v>
      </c>
      <c r="P2151" t="s">
        <v>804</v>
      </c>
      <c r="Q2151" s="38" t="s">
        <v>245</v>
      </c>
      <c r="R2151" t="s">
        <v>789</v>
      </c>
    </row>
    <row r="2152" spans="1:18" x14ac:dyDescent="0.25">
      <c r="A2152" t="s">
        <v>804</v>
      </c>
      <c r="B2152" t="s">
        <v>124</v>
      </c>
      <c r="C2152" s="4">
        <f>(0.0326583932070542/(0.0783801436969301+0.261267145656433+0.0326583932070542)) * 4.0053091641672%</f>
        <v>3.5134290913747426E-3</v>
      </c>
      <c r="D2152" s="4">
        <f>(0.0326583932070542/(0.0783801436969301+0.261267145656433+0.0326583932070542)) * 3.3397661955405%</f>
        <v>2.929619469772373E-3</v>
      </c>
      <c r="E2152" s="4">
        <f>(0.0326583932070542/(0.0783801436969301+0.261267145656433+0.0326583932070542)) * 2.77875335211881%</f>
        <v>2.4375029404551003E-3</v>
      </c>
      <c r="F2152" s="4">
        <f>(0.0326583932070542/(0.0783801436969301+0.261267145656433+0.0326583932070542)) * 4.81687857551633%</f>
        <v>4.225332083786261E-3</v>
      </c>
      <c r="G2152" s="4">
        <f>(0.0326583932070542/(0.0783801436969301+0.261267145656433+0.0326583932070542)) * 7.65944582126541%</f>
        <v>6.7188121239170374E-3</v>
      </c>
      <c r="H2152" s="4">
        <f>(0.0326583932070542/(0.0783801436969301+0.261267145656433+0.0326583932070542)) * 9.42663474429751%</f>
        <v>8.2689778458750213E-3</v>
      </c>
      <c r="I2152" s="4">
        <f>(0.0326583932070542/(0.0783801436969301+0.261267145656433+0.0326583932070542)) * 10.5456478040794%</f>
        <v>9.2505682491924694E-3</v>
      </c>
      <c r="J2152" s="4">
        <f>(0.0326583932070542/(0.0783801436969301+0.261267145656433+0.0326583932070542)) * 11.8989272607833%</f>
        <v>1.0437655491915191E-2</v>
      </c>
      <c r="K2152" s="4">
        <f>(0.0326583932070542/(0.0783801436969301+0.261267145656433+0.0326583932070542)) * 13.056130740488%</f>
        <v>1.1452746263585983E-2</v>
      </c>
      <c r="L2152" s="4">
        <f>(0.0326583932070542/(0.0783801436969301+0.261267145656433+0.0326583932070542)) * 13.7160062258397%</f>
        <v>1.2031584408631333E-2</v>
      </c>
      <c r="M2152" s="4">
        <f>(0.0326583932070542/(0.0783801436969301+0.261267145656433+0.0326583932070542)) * 14.0969673556114%</f>
        <v>1.2365760838255633E-2</v>
      </c>
      <c r="N2152" t="s">
        <v>242</v>
      </c>
      <c r="O2152" t="s">
        <v>805</v>
      </c>
      <c r="P2152" t="s">
        <v>804</v>
      </c>
      <c r="Q2152" t="s">
        <v>245</v>
      </c>
      <c r="R2152" t="s">
        <v>789</v>
      </c>
    </row>
    <row r="2153" spans="1:18" x14ac:dyDescent="0.25">
      <c r="A2153" t="s">
        <v>804</v>
      </c>
      <c r="B2153" t="s">
        <v>83</v>
      </c>
      <c r="C2153" s="4">
        <v>0</v>
      </c>
      <c r="D2153" s="4">
        <v>0</v>
      </c>
      <c r="E2153" s="4">
        <v>1.1991396795578608E-2</v>
      </c>
      <c r="F2153" s="4">
        <v>3.6663998712865034E-2</v>
      </c>
      <c r="G2153" s="4">
        <v>5.6828700247827782E-2</v>
      </c>
      <c r="H2153" s="4">
        <v>6.7764650857601499E-2</v>
      </c>
      <c r="I2153" s="4">
        <v>7.928391791686254E-2</v>
      </c>
      <c r="J2153" s="4">
        <v>7.9835924897936686E-2</v>
      </c>
      <c r="K2153" s="4">
        <v>8.1407310164422389E-2</v>
      </c>
      <c r="L2153" s="4">
        <v>7.9525873566544017E-2</v>
      </c>
      <c r="M2153" s="4">
        <v>7.8593244682783905E-2</v>
      </c>
      <c r="N2153" t="s">
        <v>242</v>
      </c>
      <c r="O2153" t="s">
        <v>805</v>
      </c>
      <c r="P2153" t="s">
        <v>804</v>
      </c>
      <c r="Q2153" t="s">
        <v>245</v>
      </c>
      <c r="R2153" t="s">
        <v>789</v>
      </c>
    </row>
    <row r="2154" spans="1:18" x14ac:dyDescent="0.25">
      <c r="A2154" t="s">
        <v>804</v>
      </c>
      <c r="B2154" s="38" t="s">
        <v>85</v>
      </c>
      <c r="C2154" s="35">
        <v>2.3661385295237749E-3</v>
      </c>
      <c r="D2154" s="35">
        <v>2.2127426207202957E-3</v>
      </c>
      <c r="E2154" s="35">
        <v>1.9398047943806924E-3</v>
      </c>
      <c r="F2154" s="35">
        <v>1.5274544665823512E-3</v>
      </c>
      <c r="G2154" s="35">
        <v>1.1197038010211699E-3</v>
      </c>
      <c r="H2154" s="35">
        <v>8.514145401169504E-4</v>
      </c>
      <c r="I2154" s="35">
        <v>7.1432959453223571E-4</v>
      </c>
      <c r="J2154" s="35">
        <v>6.4488170290041965E-4</v>
      </c>
      <c r="K2154" s="35">
        <v>6.0533982365240234E-4</v>
      </c>
      <c r="L2154" s="35">
        <v>5.8411055733103537E-4</v>
      </c>
      <c r="M2154" s="35">
        <v>5.7374870189356184E-4</v>
      </c>
      <c r="N2154" t="s">
        <v>242</v>
      </c>
      <c r="O2154" t="s">
        <v>805</v>
      </c>
      <c r="P2154" t="s">
        <v>804</v>
      </c>
      <c r="Q2154" s="38" t="s">
        <v>245</v>
      </c>
      <c r="R2154" t="s">
        <v>789</v>
      </c>
    </row>
    <row r="2155" spans="1:18" x14ac:dyDescent="0.25">
      <c r="A2155" t="s">
        <v>804</v>
      </c>
      <c r="B2155" t="s">
        <v>116</v>
      </c>
      <c r="C2155" s="4">
        <v>0</v>
      </c>
      <c r="D2155" s="4">
        <v>0</v>
      </c>
      <c r="E2155" s="4">
        <v>0</v>
      </c>
      <c r="F2155" s="4">
        <v>0</v>
      </c>
      <c r="G2155" s="4">
        <v>0</v>
      </c>
      <c r="H2155" s="4">
        <v>0</v>
      </c>
      <c r="I2155" s="4">
        <v>2.8944635170446188E-3</v>
      </c>
      <c r="J2155" s="4">
        <v>6.0971415403558351E-3</v>
      </c>
      <c r="K2155" s="4">
        <v>6.9501082952944503E-3</v>
      </c>
      <c r="L2155" s="4">
        <v>7.4953066716718459E-3</v>
      </c>
      <c r="M2155" s="4">
        <v>7.749814966043639E-3</v>
      </c>
      <c r="N2155" t="s">
        <v>242</v>
      </c>
      <c r="O2155" t="s">
        <v>805</v>
      </c>
      <c r="P2155" t="s">
        <v>804</v>
      </c>
      <c r="Q2155" t="s">
        <v>245</v>
      </c>
      <c r="R2155" t="s">
        <v>789</v>
      </c>
    </row>
    <row r="2156" spans="1:18" x14ac:dyDescent="0.25">
      <c r="A2156" t="s">
        <v>804</v>
      </c>
      <c r="B2156" s="38" t="s">
        <v>145</v>
      </c>
      <c r="C2156" s="35">
        <v>0.23819127863872663</v>
      </c>
      <c r="D2156" s="35">
        <v>0.22110071363118872</v>
      </c>
      <c r="E2156" s="35">
        <v>0.24911177359415199</v>
      </c>
      <c r="F2156" s="35">
        <v>0.2216845582499852</v>
      </c>
      <c r="G2156" s="35">
        <v>0.17549490908005133</v>
      </c>
      <c r="H2156" s="35">
        <v>0.14692576913951513</v>
      </c>
      <c r="I2156" s="35">
        <v>0.13493686040713937</v>
      </c>
      <c r="J2156" s="35">
        <v>0.12591315249130694</v>
      </c>
      <c r="K2156" s="35">
        <v>0.12081573980395865</v>
      </c>
      <c r="L2156" s="35">
        <v>0.11925590545508638</v>
      </c>
      <c r="M2156" s="35">
        <v>0.11867035650831839</v>
      </c>
      <c r="N2156" t="s">
        <v>242</v>
      </c>
      <c r="O2156" t="s">
        <v>805</v>
      </c>
      <c r="P2156" t="s">
        <v>804</v>
      </c>
      <c r="Q2156" s="38" t="s">
        <v>245</v>
      </c>
      <c r="R2156" t="s">
        <v>789</v>
      </c>
    </row>
    <row r="2157" spans="1:18" x14ac:dyDescent="0.25">
      <c r="A2157" t="s">
        <v>804</v>
      </c>
      <c r="B2157" t="s">
        <v>86</v>
      </c>
      <c r="C2157" s="4">
        <v>0.10641764373164835</v>
      </c>
      <c r="D2157" s="4">
        <v>0.11716428789603756</v>
      </c>
      <c r="E2157" s="4">
        <v>9.9854344482106158E-2</v>
      </c>
      <c r="F2157" s="4">
        <v>9.0471128055672673E-2</v>
      </c>
      <c r="G2157" s="4">
        <v>8.312382431100894E-2</v>
      </c>
      <c r="H2157" s="4">
        <v>8.4700421279914465E-2</v>
      </c>
      <c r="I2157" s="4">
        <v>9.0777004873156528E-2</v>
      </c>
      <c r="J2157" s="4">
        <v>9.6240855577452836E-2</v>
      </c>
      <c r="K2157" s="4">
        <v>9.8935530098101354E-2</v>
      </c>
      <c r="L2157" s="4">
        <v>0.10183656041436025</v>
      </c>
      <c r="M2157" s="4">
        <v>0.10473476553759298</v>
      </c>
      <c r="N2157" t="s">
        <v>242</v>
      </c>
      <c r="O2157" t="s">
        <v>805</v>
      </c>
      <c r="P2157" t="s">
        <v>804</v>
      </c>
      <c r="Q2157" t="s">
        <v>245</v>
      </c>
      <c r="R2157" t="s">
        <v>789</v>
      </c>
    </row>
    <row r="2158" spans="1:18" x14ac:dyDescent="0.25">
      <c r="A2158" t="s">
        <v>804</v>
      </c>
      <c r="B2158" t="s">
        <v>86</v>
      </c>
      <c r="C2158" s="4">
        <v>0.60125382807412098</v>
      </c>
      <c r="D2158" s="4">
        <v>0.61742981701052402</v>
      </c>
      <c r="E2158" s="4">
        <v>0.60186221260260553</v>
      </c>
      <c r="F2158" s="4">
        <v>0.58894061868015712</v>
      </c>
      <c r="G2158" s="4">
        <v>0.5773640679585561</v>
      </c>
      <c r="H2158" s="4">
        <v>0.56334864744286162</v>
      </c>
      <c r="I2158" s="4">
        <v>0.5357195751548548</v>
      </c>
      <c r="J2158" s="4">
        <v>0.51488644922975313</v>
      </c>
      <c r="K2158" s="4">
        <v>0.4988972726212465</v>
      </c>
      <c r="L2158" s="4">
        <v>0.48862522571005457</v>
      </c>
      <c r="M2158" s="4">
        <v>0.48157406043868822</v>
      </c>
      <c r="N2158" t="s">
        <v>242</v>
      </c>
      <c r="O2158" t="s">
        <v>805</v>
      </c>
      <c r="P2158" t="s">
        <v>804</v>
      </c>
      <c r="Q2158" t="s">
        <v>245</v>
      </c>
      <c r="R2158" t="s">
        <v>789</v>
      </c>
    </row>
    <row r="2159" spans="1:18" x14ac:dyDescent="0.25">
      <c r="A2159" t="s">
        <v>804</v>
      </c>
      <c r="B2159" t="s">
        <v>154</v>
      </c>
      <c r="C2159" s="4">
        <v>0</v>
      </c>
      <c r="D2159" s="4">
        <v>0</v>
      </c>
      <c r="E2159" s="4">
        <v>0</v>
      </c>
      <c r="F2159" s="4">
        <v>0</v>
      </c>
      <c r="G2159" s="4">
        <v>1.972918097399301E-3</v>
      </c>
      <c r="H2159" s="4">
        <v>3.7501972443684615E-3</v>
      </c>
      <c r="I2159" s="4">
        <v>4.404556279885766E-3</v>
      </c>
      <c r="J2159" s="4">
        <v>4.8284442701830767E-3</v>
      </c>
      <c r="K2159" s="4">
        <v>5.0658872042057381E-3</v>
      </c>
      <c r="L2159" s="4">
        <v>5.1456246030482005E-3</v>
      </c>
      <c r="M2159" s="4">
        <v>5.0543435645476857E-3</v>
      </c>
      <c r="N2159" t="s">
        <v>242</v>
      </c>
      <c r="O2159" t="s">
        <v>805</v>
      </c>
      <c r="P2159" t="s">
        <v>804</v>
      </c>
      <c r="Q2159" t="s">
        <v>245</v>
      </c>
      <c r="R2159" t="s">
        <v>789</v>
      </c>
    </row>
    <row r="2160" spans="1:18" x14ac:dyDescent="0.25">
      <c r="A2160" t="s">
        <v>804</v>
      </c>
      <c r="B2160" t="s">
        <v>117</v>
      </c>
      <c r="C2160" s="4">
        <v>0</v>
      </c>
      <c r="D2160" s="4">
        <v>0</v>
      </c>
      <c r="E2160" s="4">
        <v>0</v>
      </c>
      <c r="F2160" s="4">
        <v>0</v>
      </c>
      <c r="G2160" s="4">
        <v>0</v>
      </c>
      <c r="H2160" s="4">
        <v>3.7519000734486952E-4</v>
      </c>
      <c r="I2160" s="4">
        <v>1.6253379374256798E-3</v>
      </c>
      <c r="J2160" s="4">
        <v>3.7871752805665321E-3</v>
      </c>
      <c r="K2160" s="4">
        <v>6.5320202570918586E-3</v>
      </c>
      <c r="L2160" s="4">
        <v>9.0046483518152389E-3</v>
      </c>
      <c r="M2160" s="4">
        <v>1.0613585986761705E-2</v>
      </c>
      <c r="N2160" t="s">
        <v>242</v>
      </c>
      <c r="O2160" t="s">
        <v>805</v>
      </c>
      <c r="P2160" t="s">
        <v>804</v>
      </c>
      <c r="Q2160" s="38" t="s">
        <v>245</v>
      </c>
      <c r="R2160" t="s">
        <v>789</v>
      </c>
    </row>
    <row r="2161" spans="1:18" x14ac:dyDescent="0.25">
      <c r="A2161" t="s">
        <v>804</v>
      </c>
      <c r="B2161" t="s">
        <v>117</v>
      </c>
      <c r="C2161" s="4">
        <v>0</v>
      </c>
      <c r="D2161" s="4">
        <v>0</v>
      </c>
      <c r="E2161" s="4">
        <v>0</v>
      </c>
      <c r="F2161" s="4">
        <v>0</v>
      </c>
      <c r="G2161" s="4">
        <v>3.9450897255979226E-3</v>
      </c>
      <c r="H2161" s="4">
        <v>7.0003303488415667E-3</v>
      </c>
      <c r="I2161" s="4">
        <v>7.1313904520801533E-3</v>
      </c>
      <c r="J2161" s="4">
        <v>7.1955900409628832E-3</v>
      </c>
      <c r="K2161" s="4">
        <v>7.1099180087386832E-3</v>
      </c>
      <c r="L2161" s="4">
        <v>6.8605731993721204E-3</v>
      </c>
      <c r="M2161" s="4">
        <v>6.7388697533071838E-3</v>
      </c>
      <c r="N2161" t="s">
        <v>242</v>
      </c>
      <c r="O2161" t="s">
        <v>805</v>
      </c>
      <c r="P2161" t="s">
        <v>804</v>
      </c>
      <c r="Q2161" t="s">
        <v>245</v>
      </c>
      <c r="R2161" t="s">
        <v>789</v>
      </c>
    </row>
    <row r="2162" spans="1:18" x14ac:dyDescent="0.25">
      <c r="A2162" t="s">
        <v>804</v>
      </c>
      <c r="B2162" t="s">
        <v>178</v>
      </c>
      <c r="C2162" s="4">
        <v>0</v>
      </c>
      <c r="D2162" s="4">
        <v>0</v>
      </c>
      <c r="E2162" s="4">
        <v>0</v>
      </c>
      <c r="F2162" s="4">
        <v>0</v>
      </c>
      <c r="G2162" s="4">
        <v>0</v>
      </c>
      <c r="H2162" s="4">
        <v>0</v>
      </c>
      <c r="I2162" s="4">
        <v>2.5168212714019107E-3</v>
      </c>
      <c r="J2162" s="4">
        <v>5.6809778814174306E-3</v>
      </c>
      <c r="K2162" s="4">
        <v>7.4654542651638629E-3</v>
      </c>
      <c r="L2162" s="4">
        <v>8.7472502995513644E-3</v>
      </c>
      <c r="M2162" s="4">
        <v>9.6030232731598442E-3</v>
      </c>
      <c r="N2162" t="s">
        <v>242</v>
      </c>
      <c r="O2162" t="s">
        <v>805</v>
      </c>
      <c r="P2162" t="s">
        <v>804</v>
      </c>
      <c r="Q2162" t="s">
        <v>245</v>
      </c>
      <c r="R2162" t="s">
        <v>789</v>
      </c>
    </row>
    <row r="2163" spans="1:18" x14ac:dyDescent="0.25">
      <c r="A2163" t="s">
        <v>804</v>
      </c>
      <c r="B2163" t="s">
        <v>788</v>
      </c>
      <c r="C2163" s="4">
        <v>0</v>
      </c>
      <c r="D2163" s="4">
        <v>0</v>
      </c>
      <c r="E2163" s="4">
        <v>0</v>
      </c>
      <c r="F2163" s="4">
        <v>6.9427897021056475E-3</v>
      </c>
      <c r="G2163" s="4">
        <v>1.8661730017019491E-2</v>
      </c>
      <c r="H2163" s="4">
        <v>1.7845081151157873E-2</v>
      </c>
      <c r="I2163" s="4">
        <v>1.6775792417724717E-2</v>
      </c>
      <c r="J2163" s="4">
        <v>1.6284982682776672E-2</v>
      </c>
      <c r="K2163" s="4">
        <v>1.5286444786752907E-2</v>
      </c>
      <c r="L2163" s="4">
        <v>1.475034920076152E-2</v>
      </c>
      <c r="M2163" s="4">
        <v>1.4488684719350817E-2</v>
      </c>
      <c r="N2163" t="s">
        <v>242</v>
      </c>
      <c r="O2163" t="s">
        <v>805</v>
      </c>
      <c r="P2163" t="s">
        <v>804</v>
      </c>
      <c r="Q2163" t="s">
        <v>245</v>
      </c>
      <c r="R2163" t="s">
        <v>789</v>
      </c>
    </row>
    <row r="2164" spans="1:18" x14ac:dyDescent="0.25">
      <c r="A2164" t="s">
        <v>804</v>
      </c>
      <c r="B2164" t="s">
        <v>112</v>
      </c>
      <c r="C2164" s="4">
        <v>4.5069305324262396E-4</v>
      </c>
      <c r="D2164" s="4">
        <v>1.7354844084080752E-5</v>
      </c>
      <c r="E2164" s="4">
        <v>6.4660159812689741E-4</v>
      </c>
      <c r="F2164" s="4">
        <v>5.0915148886078367E-4</v>
      </c>
      <c r="G2164" s="4">
        <v>3.7323460034038999E-4</v>
      </c>
      <c r="H2164" s="4">
        <v>2.8380484670565011E-4</v>
      </c>
      <c r="I2164" s="4">
        <v>2.3810986484407862E-4</v>
      </c>
      <c r="J2164" s="4">
        <v>2.1496056763347323E-4</v>
      </c>
      <c r="K2164" s="4">
        <v>2.017799412174674E-4</v>
      </c>
      <c r="L2164" s="4">
        <v>1.9470351911034519E-4</v>
      </c>
      <c r="M2164" s="4">
        <v>1.9124956729785395E-4</v>
      </c>
      <c r="N2164" t="s">
        <v>242</v>
      </c>
      <c r="O2164" t="s">
        <v>805</v>
      </c>
      <c r="P2164" t="s">
        <v>804</v>
      </c>
      <c r="Q2164" t="s">
        <v>245</v>
      </c>
      <c r="R2164" t="s">
        <v>789</v>
      </c>
    </row>
    <row r="2165" spans="1:18" x14ac:dyDescent="0.25">
      <c r="A2165" t="s">
        <v>804</v>
      </c>
      <c r="B2165" t="s">
        <v>113</v>
      </c>
      <c r="C2165" s="4">
        <v>1.1267326331065598E-2</v>
      </c>
      <c r="D2165" s="4">
        <v>8.6774220420403735E-3</v>
      </c>
      <c r="E2165" s="4">
        <v>6.8063326118620775E-3</v>
      </c>
      <c r="F2165" s="4">
        <v>5.0915148886078376E-3</v>
      </c>
      <c r="G2165" s="4">
        <v>3.7323460034038997E-3</v>
      </c>
      <c r="H2165" s="4">
        <v>2.8380484670565012E-3</v>
      </c>
      <c r="I2165" s="4">
        <v>2.3810986484407858E-3</v>
      </c>
      <c r="J2165" s="4">
        <v>2.1496056763347323E-3</v>
      </c>
      <c r="K2165" s="4">
        <v>2.0177994121746744E-3</v>
      </c>
      <c r="L2165" s="4">
        <v>1.9470351911034516E-3</v>
      </c>
      <c r="M2165" s="4">
        <v>1.9124956729785398E-3</v>
      </c>
      <c r="N2165" t="s">
        <v>242</v>
      </c>
      <c r="O2165" t="s">
        <v>805</v>
      </c>
      <c r="P2165" t="s">
        <v>804</v>
      </c>
      <c r="Q2165" s="38" t="s">
        <v>245</v>
      </c>
      <c r="R2165" t="s">
        <v>789</v>
      </c>
    </row>
    <row r="2166" spans="1:18" x14ac:dyDescent="0.25">
      <c r="A2166" t="s">
        <v>804</v>
      </c>
      <c r="B2166" t="s">
        <v>113</v>
      </c>
      <c r="C2166" s="4">
        <v>0</v>
      </c>
      <c r="D2166" s="4">
        <v>0</v>
      </c>
      <c r="E2166" s="4">
        <v>0</v>
      </c>
      <c r="F2166" s="4">
        <v>0</v>
      </c>
      <c r="G2166" s="4">
        <v>7.8901794511958441E-4</v>
      </c>
      <c r="H2166" s="4">
        <v>1.0050097231540484E-2</v>
      </c>
      <c r="I2166" s="4">
        <v>1.5144263623813081E-2</v>
      </c>
      <c r="J2166" s="4">
        <v>1.7250585552586236E-2</v>
      </c>
      <c r="K2166" s="4">
        <v>1.8148087913099027E-2</v>
      </c>
      <c r="L2166" s="4">
        <v>1.8866771001792446E-2</v>
      </c>
      <c r="M2166" s="4">
        <v>1.853208307116205E-2</v>
      </c>
      <c r="N2166" t="s">
        <v>242</v>
      </c>
      <c r="O2166" t="s">
        <v>805</v>
      </c>
      <c r="P2166" t="s">
        <v>804</v>
      </c>
      <c r="Q2166" t="s">
        <v>245</v>
      </c>
      <c r="R2166" t="s">
        <v>789</v>
      </c>
    </row>
    <row r="2167" spans="1:18" x14ac:dyDescent="0.25">
      <c r="A2167" t="s">
        <v>366</v>
      </c>
      <c r="B2167" t="s">
        <v>83</v>
      </c>
      <c r="C2167" s="4">
        <v>2.888830454684797E-2</v>
      </c>
      <c r="D2167" s="4">
        <v>2.888830454684797E-2</v>
      </c>
      <c r="E2167" s="4">
        <v>2.888830454684797E-2</v>
      </c>
      <c r="F2167" s="4">
        <v>2.888830454684797E-2</v>
      </c>
      <c r="G2167" s="4">
        <v>2.888830454684797E-2</v>
      </c>
      <c r="H2167" s="4">
        <v>2.888830454684797E-2</v>
      </c>
      <c r="I2167" s="4">
        <v>2.888830454684797E-2</v>
      </c>
      <c r="J2167" s="4">
        <v>2.888830454684797E-2</v>
      </c>
      <c r="K2167" s="4">
        <v>2.888830454684797E-2</v>
      </c>
      <c r="L2167" s="4">
        <v>2.888830454684797E-2</v>
      </c>
      <c r="M2167" s="4">
        <v>2.888830454684797E-2</v>
      </c>
      <c r="N2167" t="s">
        <v>333</v>
      </c>
      <c r="O2167" t="s">
        <v>365</v>
      </c>
      <c r="P2167" t="s">
        <v>366</v>
      </c>
      <c r="Q2167" t="s">
        <v>245</v>
      </c>
      <c r="R2167" t="s">
        <v>568</v>
      </c>
    </row>
    <row r="2168" spans="1:18" x14ac:dyDescent="0.25">
      <c r="A2168" t="s">
        <v>366</v>
      </c>
      <c r="B2168" t="s">
        <v>181</v>
      </c>
      <c r="C2168" s="4">
        <v>2.4912062039326881E-2</v>
      </c>
      <c r="D2168" s="4">
        <v>2.4912062039326881E-2</v>
      </c>
      <c r="E2168" s="4">
        <v>2.4912062039326881E-2</v>
      </c>
      <c r="F2168" s="4">
        <v>2.4912062039326881E-2</v>
      </c>
      <c r="G2168" s="4">
        <v>2.4912062039326881E-2</v>
      </c>
      <c r="H2168" s="4">
        <v>2.4912062039326881E-2</v>
      </c>
      <c r="I2168" s="4">
        <v>2.4912062039326881E-2</v>
      </c>
      <c r="J2168" s="4">
        <v>2.4912062039326881E-2</v>
      </c>
      <c r="K2168" s="4">
        <v>2.4912062039326881E-2</v>
      </c>
      <c r="L2168" s="4">
        <v>2.4912062039326881E-2</v>
      </c>
      <c r="M2168" s="4">
        <v>2.4912062039326881E-2</v>
      </c>
      <c r="N2168" t="s">
        <v>256</v>
      </c>
      <c r="O2168" t="s">
        <v>365</v>
      </c>
      <c r="P2168" t="s">
        <v>366</v>
      </c>
      <c r="Q2168" t="s">
        <v>245</v>
      </c>
    </row>
    <row r="2169" spans="1:18" x14ac:dyDescent="0.25">
      <c r="A2169" t="s">
        <v>366</v>
      </c>
      <c r="B2169" t="s">
        <v>85</v>
      </c>
      <c r="C2169" s="4">
        <v>8.523514932486119E-2</v>
      </c>
      <c r="D2169" s="4">
        <v>8.523514932486119E-2</v>
      </c>
      <c r="E2169" s="4">
        <v>8.523514932486119E-2</v>
      </c>
      <c r="F2169" s="4">
        <v>8.523514932486119E-2</v>
      </c>
      <c r="G2169" s="4">
        <v>8.523514932486119E-2</v>
      </c>
      <c r="H2169" s="4">
        <v>8.523514932486119E-2</v>
      </c>
      <c r="I2169" s="4">
        <v>8.523514932486119E-2</v>
      </c>
      <c r="J2169" s="4">
        <v>8.523514932486119E-2</v>
      </c>
      <c r="K2169" s="4">
        <v>8.523514932486119E-2</v>
      </c>
      <c r="L2169" s="4">
        <v>8.523514932486119E-2</v>
      </c>
      <c r="M2169" s="4">
        <v>8.523514932486119E-2</v>
      </c>
      <c r="N2169" t="s">
        <v>256</v>
      </c>
      <c r="O2169" t="s">
        <v>365</v>
      </c>
      <c r="P2169" t="s">
        <v>366</v>
      </c>
      <c r="Q2169" t="s">
        <v>245</v>
      </c>
    </row>
    <row r="2170" spans="1:18" x14ac:dyDescent="0.25">
      <c r="A2170" t="s">
        <v>366</v>
      </c>
      <c r="B2170" t="s">
        <v>116</v>
      </c>
      <c r="C2170" s="4">
        <v>5.377773512264406E-3</v>
      </c>
      <c r="D2170" s="4">
        <v>5.377773512264406E-3</v>
      </c>
      <c r="E2170" s="4">
        <v>5.377773512264406E-3</v>
      </c>
      <c r="F2170" s="4">
        <v>5.377773512264406E-3</v>
      </c>
      <c r="G2170" s="4">
        <v>5.377773512264406E-3</v>
      </c>
      <c r="H2170" s="4">
        <v>5.377773512264406E-3</v>
      </c>
      <c r="I2170" s="4">
        <v>5.377773512264406E-3</v>
      </c>
      <c r="J2170" s="4">
        <v>5.377773512264406E-3</v>
      </c>
      <c r="K2170" s="4">
        <v>5.377773512264406E-3</v>
      </c>
      <c r="L2170" s="4">
        <v>5.377773512264406E-3</v>
      </c>
      <c r="M2170" s="4">
        <v>5.377773512264406E-3</v>
      </c>
      <c r="N2170" t="s">
        <v>256</v>
      </c>
      <c r="O2170" t="s">
        <v>365</v>
      </c>
      <c r="P2170" t="s">
        <v>366</v>
      </c>
      <c r="Q2170" t="s">
        <v>245</v>
      </c>
    </row>
    <row r="2171" spans="1:18" x14ac:dyDescent="0.25">
      <c r="A2171" t="s">
        <v>366</v>
      </c>
      <c r="B2171" t="s">
        <v>86</v>
      </c>
      <c r="C2171" s="4">
        <v>0.61780374277799432</v>
      </c>
      <c r="D2171" s="4">
        <v>0.61780374277799432</v>
      </c>
      <c r="E2171" s="4">
        <v>0.61780374277799432</v>
      </c>
      <c r="F2171" s="4">
        <v>0.61780374277799432</v>
      </c>
      <c r="G2171" s="4">
        <v>0.61780374277799432</v>
      </c>
      <c r="H2171" s="4">
        <v>0.61780374277799432</v>
      </c>
      <c r="I2171" s="4">
        <v>0.61780374277799432</v>
      </c>
      <c r="J2171" s="4">
        <v>0.61780374277799432</v>
      </c>
      <c r="K2171" s="4">
        <v>0.61780374277799432</v>
      </c>
      <c r="L2171" s="4">
        <v>0.61780374277799432</v>
      </c>
      <c r="M2171" s="4">
        <v>0.61780374277799432</v>
      </c>
      <c r="N2171" t="s">
        <v>256</v>
      </c>
      <c r="O2171" t="s">
        <v>365</v>
      </c>
      <c r="P2171" t="s">
        <v>366</v>
      </c>
      <c r="Q2171" t="s">
        <v>245</v>
      </c>
    </row>
    <row r="2172" spans="1:18" x14ac:dyDescent="0.25">
      <c r="A2172" t="s">
        <v>366</v>
      </c>
      <c r="B2172" t="s">
        <v>87</v>
      </c>
      <c r="C2172" s="4">
        <v>3.7618806140554353E-5</v>
      </c>
      <c r="D2172" s="4">
        <v>3.7618806140554353E-5</v>
      </c>
      <c r="E2172" s="4">
        <v>3.7618806140554353E-5</v>
      </c>
      <c r="F2172" s="4">
        <v>3.7618806140554353E-5</v>
      </c>
      <c r="G2172" s="4">
        <v>3.7618806140554353E-5</v>
      </c>
      <c r="H2172" s="4">
        <v>3.7618806140554353E-5</v>
      </c>
      <c r="I2172" s="4">
        <v>3.7618806140554353E-5</v>
      </c>
      <c r="J2172" s="4">
        <v>3.7618806140554353E-5</v>
      </c>
      <c r="K2172" s="4">
        <v>3.7618806140554353E-5</v>
      </c>
      <c r="L2172" s="4">
        <v>3.7618806140554353E-5</v>
      </c>
      <c r="M2172" s="4">
        <v>3.7618806140554353E-5</v>
      </c>
      <c r="N2172" t="s">
        <v>256</v>
      </c>
      <c r="O2172" t="s">
        <v>365</v>
      </c>
      <c r="P2172" t="s">
        <v>366</v>
      </c>
      <c r="Q2172" t="s">
        <v>245</v>
      </c>
    </row>
    <row r="2173" spans="1:18" x14ac:dyDescent="0.25">
      <c r="A2173" t="s">
        <v>366</v>
      </c>
      <c r="B2173" t="s">
        <v>154</v>
      </c>
      <c r="C2173" s="4">
        <v>2.9859511236828939E-3</v>
      </c>
      <c r="D2173" s="4">
        <v>2.9859511236828939E-3</v>
      </c>
      <c r="E2173" s="4">
        <v>2.9859511236828939E-3</v>
      </c>
      <c r="F2173" s="4">
        <v>2.9859511236828939E-3</v>
      </c>
      <c r="G2173" s="4">
        <v>2.9859511236828939E-3</v>
      </c>
      <c r="H2173" s="4">
        <v>2.9859511236828939E-3</v>
      </c>
      <c r="I2173" s="4">
        <v>2.9859511236828939E-3</v>
      </c>
      <c r="J2173" s="4">
        <v>2.9859511236828939E-3</v>
      </c>
      <c r="K2173" s="4">
        <v>2.9859511236828939E-3</v>
      </c>
      <c r="L2173" s="4">
        <v>2.9859511236828939E-3</v>
      </c>
      <c r="M2173" s="4">
        <v>2.9859511236828939E-3</v>
      </c>
      <c r="N2173" t="s">
        <v>256</v>
      </c>
      <c r="O2173" t="s">
        <v>365</v>
      </c>
      <c r="P2173" t="s">
        <v>366</v>
      </c>
      <c r="Q2173" t="s">
        <v>245</v>
      </c>
    </row>
    <row r="2174" spans="1:18" x14ac:dyDescent="0.25">
      <c r="A2174" t="s">
        <v>366</v>
      </c>
      <c r="B2174" t="s">
        <v>93</v>
      </c>
      <c r="C2174" s="4">
        <v>1.2257239060938049E-2</v>
      </c>
      <c r="D2174" s="4">
        <v>1.2257239060938049E-2</v>
      </c>
      <c r="E2174" s="4">
        <v>1.2257239060938049E-2</v>
      </c>
      <c r="F2174" s="4">
        <v>1.2257239060938049E-2</v>
      </c>
      <c r="G2174" s="4">
        <v>1.2257239060938049E-2</v>
      </c>
      <c r="H2174" s="4">
        <v>1.2257239060938049E-2</v>
      </c>
      <c r="I2174" s="4">
        <v>1.2257239060938049E-2</v>
      </c>
      <c r="J2174" s="4">
        <v>1.2257239060938049E-2</v>
      </c>
      <c r="K2174" s="4">
        <v>1.2257239060938049E-2</v>
      </c>
      <c r="L2174" s="4">
        <v>1.2257239060938049E-2</v>
      </c>
      <c r="M2174" s="4">
        <v>1.2257239060938049E-2</v>
      </c>
      <c r="N2174" t="s">
        <v>333</v>
      </c>
      <c r="O2174" t="s">
        <v>365</v>
      </c>
      <c r="P2174" t="s">
        <v>366</v>
      </c>
      <c r="Q2174" t="s">
        <v>245</v>
      </c>
    </row>
    <row r="2175" spans="1:18" x14ac:dyDescent="0.25">
      <c r="A2175" t="s">
        <v>366</v>
      </c>
      <c r="B2175" t="s">
        <v>196</v>
      </c>
      <c r="C2175" s="4">
        <v>1.8213366506001201E-4</v>
      </c>
      <c r="D2175" s="4">
        <v>1.8213366506001201E-4</v>
      </c>
      <c r="E2175" s="4">
        <v>1.8213366506001201E-4</v>
      </c>
      <c r="F2175" s="4">
        <v>1.8213366506001201E-4</v>
      </c>
      <c r="G2175" s="4">
        <v>1.8213366506001201E-4</v>
      </c>
      <c r="H2175" s="4">
        <v>1.8213366506001201E-4</v>
      </c>
      <c r="I2175" s="4">
        <v>1.8213366506001201E-4</v>
      </c>
      <c r="J2175" s="4">
        <v>1.8213366506001201E-4</v>
      </c>
      <c r="K2175" s="4">
        <v>1.8213366506001201E-4</v>
      </c>
      <c r="L2175" s="4">
        <v>1.8213366506001201E-4</v>
      </c>
      <c r="M2175" s="4">
        <v>1.8213366506001201E-4</v>
      </c>
      <c r="N2175" t="s">
        <v>256</v>
      </c>
      <c r="O2175" t="s">
        <v>365</v>
      </c>
      <c r="P2175" t="s">
        <v>366</v>
      </c>
      <c r="Q2175" t="s">
        <v>245</v>
      </c>
    </row>
    <row r="2176" spans="1:18" x14ac:dyDescent="0.25">
      <c r="A2176" t="s">
        <v>366</v>
      </c>
      <c r="B2176" t="s">
        <v>97</v>
      </c>
      <c r="C2176" s="4">
        <v>3.7789358386229018E-3</v>
      </c>
      <c r="D2176" s="4">
        <v>3.7789358386229018E-3</v>
      </c>
      <c r="E2176" s="4">
        <v>3.7789358386229018E-3</v>
      </c>
      <c r="F2176" s="4">
        <v>3.7789358386229018E-3</v>
      </c>
      <c r="G2176" s="4">
        <v>3.7789358386229018E-3</v>
      </c>
      <c r="H2176" s="4">
        <v>3.7789358386229018E-3</v>
      </c>
      <c r="I2176" s="4">
        <v>3.7789358386229018E-3</v>
      </c>
      <c r="J2176" s="4">
        <v>3.7789358386229018E-3</v>
      </c>
      <c r="K2176" s="4">
        <v>3.7789358386229018E-3</v>
      </c>
      <c r="L2176" s="4">
        <v>3.7789358386229018E-3</v>
      </c>
      <c r="M2176" s="4">
        <v>3.7789358386229018E-3</v>
      </c>
      <c r="N2176" t="s">
        <v>256</v>
      </c>
      <c r="O2176" t="s">
        <v>365</v>
      </c>
      <c r="P2176" t="s">
        <v>366</v>
      </c>
      <c r="Q2176" t="s">
        <v>245</v>
      </c>
    </row>
    <row r="2177" spans="1:17" x14ac:dyDescent="0.25">
      <c r="A2177" t="s">
        <v>366</v>
      </c>
      <c r="B2177" t="s">
        <v>99</v>
      </c>
      <c r="C2177" s="4">
        <v>6.6115051792024256E-3</v>
      </c>
      <c r="D2177" s="4">
        <v>6.6115051792024256E-3</v>
      </c>
      <c r="E2177" s="4">
        <v>6.6115051792024256E-3</v>
      </c>
      <c r="F2177" s="4">
        <v>6.6115051792024256E-3</v>
      </c>
      <c r="G2177" s="4">
        <v>6.6115051792024256E-3</v>
      </c>
      <c r="H2177" s="4">
        <v>6.6115051792024256E-3</v>
      </c>
      <c r="I2177" s="4">
        <v>6.6115051792024256E-3</v>
      </c>
      <c r="J2177" s="4">
        <v>6.6115051792024256E-3</v>
      </c>
      <c r="K2177" s="4">
        <v>6.6115051792024256E-3</v>
      </c>
      <c r="L2177" s="4">
        <v>6.6115051792024256E-3</v>
      </c>
      <c r="M2177" s="4">
        <v>6.6115051792024256E-3</v>
      </c>
      <c r="N2177" t="s">
        <v>256</v>
      </c>
      <c r="O2177" t="s">
        <v>365</v>
      </c>
      <c r="P2177" t="s">
        <v>366</v>
      </c>
      <c r="Q2177" t="s">
        <v>245</v>
      </c>
    </row>
    <row r="2178" spans="1:17" x14ac:dyDescent="0.25">
      <c r="A2178" t="s">
        <v>366</v>
      </c>
      <c r="B2178" t="s">
        <v>222</v>
      </c>
      <c r="C2178" s="4">
        <v>3.543274120781887E-3</v>
      </c>
      <c r="D2178" s="4">
        <v>3.543274120781887E-3</v>
      </c>
      <c r="E2178" s="4">
        <v>3.543274120781887E-3</v>
      </c>
      <c r="F2178" s="4">
        <v>3.543274120781887E-3</v>
      </c>
      <c r="G2178" s="4">
        <v>3.543274120781887E-3</v>
      </c>
      <c r="H2178" s="4">
        <v>3.543274120781887E-3</v>
      </c>
      <c r="I2178" s="4">
        <v>3.543274120781887E-3</v>
      </c>
      <c r="J2178" s="4">
        <v>3.543274120781887E-3</v>
      </c>
      <c r="K2178" s="4">
        <v>3.543274120781887E-3</v>
      </c>
      <c r="L2178" s="4">
        <v>3.543274120781887E-3</v>
      </c>
      <c r="M2178" s="4">
        <v>3.543274120781887E-3</v>
      </c>
      <c r="N2178" t="s">
        <v>256</v>
      </c>
      <c r="O2178" t="s">
        <v>365</v>
      </c>
      <c r="P2178" t="s">
        <v>366</v>
      </c>
      <c r="Q2178" t="s">
        <v>245</v>
      </c>
    </row>
    <row r="2179" spans="1:17" x14ac:dyDescent="0.25">
      <c r="A2179" t="s">
        <v>366</v>
      </c>
      <c r="B2179" t="s">
        <v>149</v>
      </c>
      <c r="C2179" s="4">
        <v>5.3296808519975843E-3</v>
      </c>
      <c r="D2179" s="4">
        <v>5.3296808519975843E-3</v>
      </c>
      <c r="E2179" s="4">
        <v>5.3296808519975843E-3</v>
      </c>
      <c r="F2179" s="4">
        <v>5.3296808519975843E-3</v>
      </c>
      <c r="G2179" s="4">
        <v>5.3296808519975843E-3</v>
      </c>
      <c r="H2179" s="4">
        <v>5.3296808519975843E-3</v>
      </c>
      <c r="I2179" s="4">
        <v>5.3296808519975843E-3</v>
      </c>
      <c r="J2179" s="4">
        <v>5.3296808519975843E-3</v>
      </c>
      <c r="K2179" s="4">
        <v>5.3296808519975843E-3</v>
      </c>
      <c r="L2179" s="4">
        <v>5.3296808519975843E-3</v>
      </c>
      <c r="M2179" s="4">
        <v>5.3296808519975843E-3</v>
      </c>
      <c r="N2179" t="s">
        <v>256</v>
      </c>
      <c r="O2179" t="s">
        <v>365</v>
      </c>
      <c r="P2179" t="s">
        <v>366</v>
      </c>
      <c r="Q2179" t="s">
        <v>245</v>
      </c>
    </row>
    <row r="2180" spans="1:17" x14ac:dyDescent="0.25">
      <c r="A2180" t="s">
        <v>366</v>
      </c>
      <c r="B2180" t="s">
        <v>150</v>
      </c>
      <c r="C2180" s="4">
        <v>1.2983481765324069E-3</v>
      </c>
      <c r="D2180" s="4">
        <v>1.2983481765324069E-3</v>
      </c>
      <c r="E2180" s="4">
        <v>1.2983481765324069E-3</v>
      </c>
      <c r="F2180" s="4">
        <v>1.2983481765324069E-3</v>
      </c>
      <c r="G2180" s="4">
        <v>1.2983481765324069E-3</v>
      </c>
      <c r="H2180" s="4">
        <v>1.2983481765324069E-3</v>
      </c>
      <c r="I2180" s="4">
        <v>1.2983481765324069E-3</v>
      </c>
      <c r="J2180" s="4">
        <v>1.2983481765324069E-3</v>
      </c>
      <c r="K2180" s="4">
        <v>1.2983481765324069E-3</v>
      </c>
      <c r="L2180" s="4">
        <v>1.2983481765324069E-3</v>
      </c>
      <c r="M2180" s="4">
        <v>1.2983481765324069E-3</v>
      </c>
      <c r="N2180" t="s">
        <v>256</v>
      </c>
      <c r="O2180" t="s">
        <v>365</v>
      </c>
      <c r="P2180" t="s">
        <v>366</v>
      </c>
      <c r="Q2180" t="s">
        <v>245</v>
      </c>
    </row>
    <row r="2181" spans="1:17" x14ac:dyDescent="0.25">
      <c r="A2181" t="s">
        <v>366</v>
      </c>
      <c r="B2181" t="s">
        <v>130</v>
      </c>
      <c r="C2181" s="4">
        <v>9.0177003077065981E-3</v>
      </c>
      <c r="D2181" s="4">
        <v>9.0177003077065981E-3</v>
      </c>
      <c r="E2181" s="4">
        <v>9.0177003077065981E-3</v>
      </c>
      <c r="F2181" s="4">
        <v>9.0177003077065981E-3</v>
      </c>
      <c r="G2181" s="4">
        <v>9.0177003077065981E-3</v>
      </c>
      <c r="H2181" s="4">
        <v>9.0177003077065981E-3</v>
      </c>
      <c r="I2181" s="4">
        <v>9.0177003077065981E-3</v>
      </c>
      <c r="J2181" s="4">
        <v>9.0177003077065981E-3</v>
      </c>
      <c r="K2181" s="4">
        <v>9.0177003077065981E-3</v>
      </c>
      <c r="L2181" s="4">
        <v>9.0177003077065981E-3</v>
      </c>
      <c r="M2181" s="4">
        <v>9.0177003077065981E-3</v>
      </c>
      <c r="N2181" t="s">
        <v>333</v>
      </c>
      <c r="O2181" t="s">
        <v>365</v>
      </c>
      <c r="P2181" t="s">
        <v>366</v>
      </c>
      <c r="Q2181" t="s">
        <v>245</v>
      </c>
    </row>
    <row r="2182" spans="1:17" x14ac:dyDescent="0.25">
      <c r="A2182" t="s">
        <v>366</v>
      </c>
      <c r="B2182" t="s">
        <v>106</v>
      </c>
      <c r="C2182" s="4">
        <v>7.5245935025830058E-4</v>
      </c>
      <c r="D2182" s="4">
        <v>7.5245935025830058E-4</v>
      </c>
      <c r="E2182" s="4">
        <v>7.5245935025830058E-4</v>
      </c>
      <c r="F2182" s="4">
        <v>7.5245935025830058E-4</v>
      </c>
      <c r="G2182" s="4">
        <v>7.5245935025830058E-4</v>
      </c>
      <c r="H2182" s="4">
        <v>7.5245935025830058E-4</v>
      </c>
      <c r="I2182" s="4">
        <v>7.5245935025830058E-4</v>
      </c>
      <c r="J2182" s="4">
        <v>7.5245935025830058E-4</v>
      </c>
      <c r="K2182" s="4">
        <v>7.5245935025830058E-4</v>
      </c>
      <c r="L2182" s="4">
        <v>7.5245935025830058E-4</v>
      </c>
      <c r="M2182" s="4">
        <v>7.5245935025830058E-4</v>
      </c>
      <c r="N2182" t="s">
        <v>256</v>
      </c>
      <c r="O2182" t="s">
        <v>365</v>
      </c>
      <c r="P2182" t="s">
        <v>366</v>
      </c>
      <c r="Q2182" t="s">
        <v>245</v>
      </c>
    </row>
    <row r="2183" spans="1:17" x14ac:dyDescent="0.25">
      <c r="A2183" t="s">
        <v>366</v>
      </c>
      <c r="B2183" t="s">
        <v>156</v>
      </c>
      <c r="C2183" s="4">
        <v>4.8656046063344616E-6</v>
      </c>
      <c r="D2183" s="4">
        <v>4.8656046063344616E-6</v>
      </c>
      <c r="E2183" s="4">
        <v>4.8656046063344616E-6</v>
      </c>
      <c r="F2183" s="4">
        <v>4.8656046063344616E-6</v>
      </c>
      <c r="G2183" s="4">
        <v>4.8656046063344616E-6</v>
      </c>
      <c r="H2183" s="4">
        <v>4.8656046063344616E-6</v>
      </c>
      <c r="I2183" s="4">
        <v>4.8656046063344616E-6</v>
      </c>
      <c r="J2183" s="4">
        <v>4.8656046063344616E-6</v>
      </c>
      <c r="K2183" s="4">
        <v>4.8656046063344616E-6</v>
      </c>
      <c r="L2183" s="4">
        <v>4.8656046063344616E-6</v>
      </c>
      <c r="M2183" s="4">
        <v>4.8656046063344616E-6</v>
      </c>
      <c r="N2183" t="s">
        <v>256</v>
      </c>
      <c r="O2183" t="s">
        <v>365</v>
      </c>
      <c r="P2183" t="s">
        <v>366</v>
      </c>
      <c r="Q2183" t="s">
        <v>245</v>
      </c>
    </row>
    <row r="2184" spans="1:17" x14ac:dyDescent="0.25">
      <c r="A2184" t="s">
        <v>366</v>
      </c>
      <c r="B2184" t="s">
        <v>151</v>
      </c>
      <c r="C2184" s="4">
        <v>2.7310766697581819E-3</v>
      </c>
      <c r="D2184" s="4">
        <v>2.7310766697581819E-3</v>
      </c>
      <c r="E2184" s="4">
        <v>2.7310766697581819E-3</v>
      </c>
      <c r="F2184" s="4">
        <v>2.7310766697581819E-3</v>
      </c>
      <c r="G2184" s="4">
        <v>2.7310766697581819E-3</v>
      </c>
      <c r="H2184" s="4">
        <v>2.7310766697581819E-3</v>
      </c>
      <c r="I2184" s="4">
        <v>2.7310766697581819E-3</v>
      </c>
      <c r="J2184" s="4">
        <v>2.7310766697581819E-3</v>
      </c>
      <c r="K2184" s="4">
        <v>2.7310766697581819E-3</v>
      </c>
      <c r="L2184" s="4">
        <v>2.7310766697581819E-3</v>
      </c>
      <c r="M2184" s="4">
        <v>2.7310766697581819E-3</v>
      </c>
      <c r="N2184" t="s">
        <v>333</v>
      </c>
      <c r="O2184" t="s">
        <v>365</v>
      </c>
      <c r="P2184" t="s">
        <v>366</v>
      </c>
      <c r="Q2184" t="s">
        <v>245</v>
      </c>
    </row>
    <row r="2185" spans="1:17" x14ac:dyDescent="0.25">
      <c r="A2185" t="s">
        <v>366</v>
      </c>
      <c r="B2185" t="s">
        <v>107</v>
      </c>
      <c r="C2185" s="4">
        <v>8.3227447213615816E-2</v>
      </c>
      <c r="D2185" s="4">
        <v>8.3227447213615816E-2</v>
      </c>
      <c r="E2185" s="4">
        <v>8.3227447213615816E-2</v>
      </c>
      <c r="F2185" s="4">
        <v>8.3227447213615816E-2</v>
      </c>
      <c r="G2185" s="4">
        <v>8.3227447213615816E-2</v>
      </c>
      <c r="H2185" s="4">
        <v>8.3227447213615816E-2</v>
      </c>
      <c r="I2185" s="4">
        <v>8.3227447213615816E-2</v>
      </c>
      <c r="J2185" s="4">
        <v>8.3227447213615816E-2</v>
      </c>
      <c r="K2185" s="4">
        <v>8.3227447213615816E-2</v>
      </c>
      <c r="L2185" s="4">
        <v>8.3227447213615816E-2</v>
      </c>
      <c r="M2185" s="4">
        <v>8.3227447213615816E-2</v>
      </c>
      <c r="N2185" t="s">
        <v>333</v>
      </c>
      <c r="O2185" t="s">
        <v>365</v>
      </c>
      <c r="P2185" t="s">
        <v>366</v>
      </c>
      <c r="Q2185" t="s">
        <v>245</v>
      </c>
    </row>
    <row r="2186" spans="1:17" x14ac:dyDescent="0.25">
      <c r="A2186" t="s">
        <v>366</v>
      </c>
      <c r="B2186" t="s">
        <v>108</v>
      </c>
      <c r="C2186" s="4">
        <v>9.3345984161394262E-3</v>
      </c>
      <c r="D2186" s="4">
        <v>9.3345984161394262E-3</v>
      </c>
      <c r="E2186" s="4">
        <v>9.3345984161394262E-3</v>
      </c>
      <c r="F2186" s="4">
        <v>9.3345984161394262E-3</v>
      </c>
      <c r="G2186" s="4">
        <v>9.3345984161394262E-3</v>
      </c>
      <c r="H2186" s="4">
        <v>9.3345984161394262E-3</v>
      </c>
      <c r="I2186" s="4">
        <v>9.3345984161394262E-3</v>
      </c>
      <c r="J2186" s="4">
        <v>9.3345984161394262E-3</v>
      </c>
      <c r="K2186" s="4">
        <v>9.3345984161394262E-3</v>
      </c>
      <c r="L2186" s="4">
        <v>9.3345984161394262E-3</v>
      </c>
      <c r="M2186" s="4">
        <v>9.3345984161394262E-3</v>
      </c>
      <c r="N2186" t="s">
        <v>256</v>
      </c>
      <c r="O2186" t="s">
        <v>365</v>
      </c>
      <c r="P2186" t="s">
        <v>366</v>
      </c>
      <c r="Q2186" t="s">
        <v>245</v>
      </c>
    </row>
    <row r="2187" spans="1:17" x14ac:dyDescent="0.25">
      <c r="A2187" t="s">
        <v>366</v>
      </c>
      <c r="B2187" t="s">
        <v>135</v>
      </c>
      <c r="C2187" s="4">
        <v>1.8785715258377911E-2</v>
      </c>
      <c r="D2187" s="4">
        <v>1.8785715258377911E-2</v>
      </c>
      <c r="E2187" s="4">
        <v>1.8785715258377911E-2</v>
      </c>
      <c r="F2187" s="4">
        <v>1.8785715258377911E-2</v>
      </c>
      <c r="G2187" s="4">
        <v>1.8785715258377911E-2</v>
      </c>
      <c r="H2187" s="4">
        <v>1.8785715258377911E-2</v>
      </c>
      <c r="I2187" s="4">
        <v>1.8785715258377911E-2</v>
      </c>
      <c r="J2187" s="4">
        <v>1.8785715258377911E-2</v>
      </c>
      <c r="K2187" s="4">
        <v>1.8785715258377911E-2</v>
      </c>
      <c r="L2187" s="4">
        <v>1.8785715258377911E-2</v>
      </c>
      <c r="M2187" s="4">
        <v>1.8785715258377911E-2</v>
      </c>
      <c r="N2187" t="s">
        <v>333</v>
      </c>
      <c r="O2187" t="s">
        <v>365</v>
      </c>
      <c r="P2187" t="s">
        <v>366</v>
      </c>
      <c r="Q2187" t="s">
        <v>245</v>
      </c>
    </row>
    <row r="2188" spans="1:17" x14ac:dyDescent="0.25">
      <c r="A2188" t="s">
        <v>366</v>
      </c>
      <c r="B2188" t="s">
        <v>137</v>
      </c>
      <c r="C2188" s="4">
        <v>2.4968234164084738E-4</v>
      </c>
      <c r="D2188" s="4">
        <v>2.4968234164084738E-4</v>
      </c>
      <c r="E2188" s="4">
        <v>2.4968234164084738E-4</v>
      </c>
      <c r="F2188" s="4">
        <v>2.4968234164084738E-4</v>
      </c>
      <c r="G2188" s="4">
        <v>2.4968234164084738E-4</v>
      </c>
      <c r="H2188" s="4">
        <v>2.4968234164084738E-4</v>
      </c>
      <c r="I2188" s="4">
        <v>2.4968234164084738E-4</v>
      </c>
      <c r="J2188" s="4">
        <v>2.4968234164084738E-4</v>
      </c>
      <c r="K2188" s="4">
        <v>2.4968234164084738E-4</v>
      </c>
      <c r="L2188" s="4">
        <v>2.4968234164084738E-4</v>
      </c>
      <c r="M2188" s="4">
        <v>2.4968234164084738E-4</v>
      </c>
      <c r="N2188" t="s">
        <v>256</v>
      </c>
      <c r="O2188" t="s">
        <v>365</v>
      </c>
      <c r="P2188" t="s">
        <v>366</v>
      </c>
      <c r="Q2188" t="s">
        <v>245</v>
      </c>
    </row>
    <row r="2189" spans="1:17" x14ac:dyDescent="0.25">
      <c r="A2189" t="s">
        <v>366</v>
      </c>
      <c r="B2189" t="s">
        <v>121</v>
      </c>
      <c r="C2189" s="4">
        <v>2.2359079302383181E-2</v>
      </c>
      <c r="D2189" s="4">
        <v>2.2359079302383181E-2</v>
      </c>
      <c r="E2189" s="4">
        <v>2.2359079302383181E-2</v>
      </c>
      <c r="F2189" s="4">
        <v>2.2359079302383181E-2</v>
      </c>
      <c r="G2189" s="4">
        <v>2.2359079302383181E-2</v>
      </c>
      <c r="H2189" s="4">
        <v>2.2359079302383181E-2</v>
      </c>
      <c r="I2189" s="4">
        <v>2.2359079302383181E-2</v>
      </c>
      <c r="J2189" s="4">
        <v>2.2359079302383181E-2</v>
      </c>
      <c r="K2189" s="4">
        <v>2.2359079302383181E-2</v>
      </c>
      <c r="L2189" s="4">
        <v>2.2359079302383181E-2</v>
      </c>
      <c r="M2189" s="4">
        <v>2.2359079302383181E-2</v>
      </c>
      <c r="N2189" t="s">
        <v>333</v>
      </c>
      <c r="O2189" t="s">
        <v>365</v>
      </c>
      <c r="P2189" t="s">
        <v>366</v>
      </c>
      <c r="Q2189" t="s">
        <v>245</v>
      </c>
    </row>
    <row r="2190" spans="1:17" x14ac:dyDescent="0.25">
      <c r="A2190" t="s">
        <v>366</v>
      </c>
      <c r="B2190" t="s">
        <v>112</v>
      </c>
      <c r="C2190" s="4">
        <v>5.5295656511259957E-2</v>
      </c>
      <c r="D2190" s="4">
        <v>5.5295656511259957E-2</v>
      </c>
      <c r="E2190" s="4">
        <v>5.5295656511259957E-2</v>
      </c>
      <c r="F2190" s="4">
        <v>5.5295656511259957E-2</v>
      </c>
      <c r="G2190" s="4">
        <v>5.5295656511259957E-2</v>
      </c>
      <c r="H2190" s="4">
        <v>5.5295656511259957E-2</v>
      </c>
      <c r="I2190" s="4">
        <v>5.5295656511259957E-2</v>
      </c>
      <c r="J2190" s="4">
        <v>5.5295656511259957E-2</v>
      </c>
      <c r="K2190" s="4">
        <v>5.5295656511259957E-2</v>
      </c>
      <c r="L2190" s="4">
        <v>5.5295656511259957E-2</v>
      </c>
      <c r="M2190" s="4">
        <v>5.5295656511259957E-2</v>
      </c>
      <c r="N2190" t="s">
        <v>256</v>
      </c>
      <c r="O2190" t="s">
        <v>365</v>
      </c>
      <c r="P2190" t="s">
        <v>366</v>
      </c>
      <c r="Q2190" t="s">
        <v>245</v>
      </c>
    </row>
    <row r="2191" spans="1:17" x14ac:dyDescent="0.25">
      <c r="A2191" t="s">
        <v>368</v>
      </c>
      <c r="B2191" t="s">
        <v>85</v>
      </c>
      <c r="C2191" s="4">
        <v>1.866335486786953E-2</v>
      </c>
      <c r="D2191" s="4">
        <v>1.866335486786953E-2</v>
      </c>
      <c r="E2191" s="4">
        <v>1.866335486786953E-2</v>
      </c>
      <c r="F2191" s="4">
        <v>1.866335486786953E-2</v>
      </c>
      <c r="G2191" s="4">
        <v>1.866335486786953E-2</v>
      </c>
      <c r="H2191" s="4">
        <v>1.866335486786953E-2</v>
      </c>
      <c r="I2191" s="4">
        <v>1.866335486786953E-2</v>
      </c>
      <c r="J2191" s="4">
        <v>1.866335486786953E-2</v>
      </c>
      <c r="K2191" s="4">
        <v>1.866335486786953E-2</v>
      </c>
      <c r="L2191" s="4">
        <v>1.866335486786953E-2</v>
      </c>
      <c r="M2191" s="4">
        <v>1.866335486786953E-2</v>
      </c>
      <c r="N2191" t="s">
        <v>256</v>
      </c>
      <c r="O2191" t="s">
        <v>369</v>
      </c>
      <c r="P2191" t="s">
        <v>368</v>
      </c>
      <c r="Q2191" t="s">
        <v>245</v>
      </c>
    </row>
    <row r="2192" spans="1:17" x14ac:dyDescent="0.25">
      <c r="A2192" t="s">
        <v>368</v>
      </c>
      <c r="B2192" t="s">
        <v>86</v>
      </c>
      <c r="C2192" s="4">
        <v>0.90835339305877372</v>
      </c>
      <c r="D2192" s="4">
        <v>0.90835339305877372</v>
      </c>
      <c r="E2192" s="4">
        <v>0.90835339305877372</v>
      </c>
      <c r="F2192" s="4">
        <v>0.90835339305877372</v>
      </c>
      <c r="G2192" s="4">
        <v>0.90835339305877372</v>
      </c>
      <c r="H2192" s="4">
        <v>0.90835339305877372</v>
      </c>
      <c r="I2192" s="4">
        <v>0.90835339305877372</v>
      </c>
      <c r="J2192" s="4">
        <v>0.90835339305877372</v>
      </c>
      <c r="K2192" s="4">
        <v>0.90835339305877372</v>
      </c>
      <c r="L2192" s="4">
        <v>0.90835339305877372</v>
      </c>
      <c r="M2192" s="4">
        <v>0.90835339305877372</v>
      </c>
      <c r="N2192" t="s">
        <v>254</v>
      </c>
      <c r="O2192" t="s">
        <v>367</v>
      </c>
      <c r="P2192" t="s">
        <v>368</v>
      </c>
      <c r="Q2192" t="s">
        <v>245</v>
      </c>
    </row>
    <row r="2193" spans="1:18" x14ac:dyDescent="0.25">
      <c r="A2193" t="s">
        <v>368</v>
      </c>
      <c r="B2193" t="s">
        <v>222</v>
      </c>
      <c r="C2193" s="4">
        <v>2.072240977992253E-2</v>
      </c>
      <c r="D2193" s="4">
        <v>2.072240977992253E-2</v>
      </c>
      <c r="E2193" s="4">
        <v>2.072240977992253E-2</v>
      </c>
      <c r="F2193" s="4">
        <v>2.072240977992253E-2</v>
      </c>
      <c r="G2193" s="4">
        <v>2.072240977992253E-2</v>
      </c>
      <c r="H2193" s="4">
        <v>2.072240977992253E-2</v>
      </c>
      <c r="I2193" s="4">
        <v>2.072240977992253E-2</v>
      </c>
      <c r="J2193" s="4">
        <v>2.072240977992253E-2</v>
      </c>
      <c r="K2193" s="4">
        <v>2.072240977992253E-2</v>
      </c>
      <c r="L2193" s="4">
        <v>2.072240977992253E-2</v>
      </c>
      <c r="M2193" s="4">
        <v>2.072240977992253E-2</v>
      </c>
      <c r="N2193" t="s">
        <v>346</v>
      </c>
      <c r="O2193" t="s">
        <v>369</v>
      </c>
      <c r="P2193" t="s">
        <v>368</v>
      </c>
      <c r="Q2193" t="s">
        <v>245</v>
      </c>
    </row>
    <row r="2194" spans="1:18" x14ac:dyDescent="0.25">
      <c r="A2194" t="s">
        <v>368</v>
      </c>
      <c r="B2194" t="s">
        <v>148</v>
      </c>
      <c r="C2194" s="4">
        <v>6.3090253955515492E-4</v>
      </c>
      <c r="D2194" s="4">
        <v>6.3090253955515492E-4</v>
      </c>
      <c r="E2194" s="4">
        <v>6.3090253955515492E-4</v>
      </c>
      <c r="F2194" s="4">
        <v>6.3090253955515492E-4</v>
      </c>
      <c r="G2194" s="4">
        <v>6.3090253955515492E-4</v>
      </c>
      <c r="H2194" s="4">
        <v>6.3090253955515492E-4</v>
      </c>
      <c r="I2194" s="4">
        <v>6.3090253955515492E-4</v>
      </c>
      <c r="J2194" s="4">
        <v>6.3090253955515492E-4</v>
      </c>
      <c r="K2194" s="4">
        <v>6.3090253955515492E-4</v>
      </c>
      <c r="L2194" s="4">
        <v>6.3090253955515492E-4</v>
      </c>
      <c r="M2194" s="4">
        <v>6.3090253955515492E-4</v>
      </c>
      <c r="N2194" t="s">
        <v>256</v>
      </c>
      <c r="O2194" t="s">
        <v>369</v>
      </c>
      <c r="P2194" t="s">
        <v>368</v>
      </c>
      <c r="Q2194" t="s">
        <v>245</v>
      </c>
    </row>
    <row r="2195" spans="1:18" x14ac:dyDescent="0.25">
      <c r="A2195" t="s">
        <v>368</v>
      </c>
      <c r="B2195" t="s">
        <v>103</v>
      </c>
      <c r="C2195" s="4">
        <v>6.0858765873487611E-6</v>
      </c>
      <c r="D2195" s="4">
        <v>6.0858765873487611E-6</v>
      </c>
      <c r="E2195" s="4">
        <v>6.0858765873487611E-6</v>
      </c>
      <c r="F2195" s="4">
        <v>6.0858765873487611E-6</v>
      </c>
      <c r="G2195" s="4">
        <v>6.0858765873487611E-6</v>
      </c>
      <c r="H2195" s="4">
        <v>6.0858765873487611E-6</v>
      </c>
      <c r="I2195" s="4">
        <v>6.0858765873487611E-6</v>
      </c>
      <c r="J2195" s="4">
        <v>6.0858765873487611E-6</v>
      </c>
      <c r="K2195" s="4">
        <v>6.0858765873487611E-6</v>
      </c>
      <c r="L2195" s="4">
        <v>6.0858765873487611E-6</v>
      </c>
      <c r="M2195" s="4">
        <v>6.0858765873487611E-6</v>
      </c>
      <c r="N2195" t="s">
        <v>256</v>
      </c>
      <c r="O2195" t="s">
        <v>369</v>
      </c>
      <c r="P2195" t="s">
        <v>368</v>
      </c>
      <c r="Q2195" t="s">
        <v>245</v>
      </c>
    </row>
    <row r="2196" spans="1:18" x14ac:dyDescent="0.25">
      <c r="A2196" t="s">
        <v>368</v>
      </c>
      <c r="B2196" t="s">
        <v>107</v>
      </c>
      <c r="C2196" s="4">
        <v>1.510859435319912E-2</v>
      </c>
      <c r="D2196" s="4">
        <v>1.510859435319912E-2</v>
      </c>
      <c r="E2196" s="4">
        <v>1.510859435319912E-2</v>
      </c>
      <c r="F2196" s="4">
        <v>1.510859435319912E-2</v>
      </c>
      <c r="G2196" s="4">
        <v>1.510859435319912E-2</v>
      </c>
      <c r="H2196" s="4">
        <v>1.510859435319912E-2</v>
      </c>
      <c r="I2196" s="4">
        <v>1.510859435319912E-2</v>
      </c>
      <c r="J2196" s="4">
        <v>1.510859435319912E-2</v>
      </c>
      <c r="K2196" s="4">
        <v>1.510859435319912E-2</v>
      </c>
      <c r="L2196" s="4">
        <v>1.510859435319912E-2</v>
      </c>
      <c r="M2196" s="4">
        <v>1.510859435319912E-2</v>
      </c>
      <c r="N2196" t="s">
        <v>256</v>
      </c>
      <c r="O2196" t="s">
        <v>369</v>
      </c>
      <c r="P2196" t="s">
        <v>368</v>
      </c>
      <c r="Q2196" t="s">
        <v>245</v>
      </c>
    </row>
    <row r="2197" spans="1:18" x14ac:dyDescent="0.25">
      <c r="A2197" t="s">
        <v>368</v>
      </c>
      <c r="B2197" t="s">
        <v>112</v>
      </c>
      <c r="C2197" s="4">
        <v>4.4629761640557581E-3</v>
      </c>
      <c r="D2197" s="4">
        <v>4.4629761640557581E-3</v>
      </c>
      <c r="E2197" s="4">
        <v>4.4629761640557581E-3</v>
      </c>
      <c r="F2197" s="4">
        <v>4.4629761640557581E-3</v>
      </c>
      <c r="G2197" s="4">
        <v>4.4629761640557581E-3</v>
      </c>
      <c r="H2197" s="4">
        <v>4.4629761640557581E-3</v>
      </c>
      <c r="I2197" s="4">
        <v>4.4629761640557581E-3</v>
      </c>
      <c r="J2197" s="4">
        <v>4.4629761640557581E-3</v>
      </c>
      <c r="K2197" s="4">
        <v>4.4629761640557581E-3</v>
      </c>
      <c r="L2197" s="4">
        <v>4.4629761640557581E-3</v>
      </c>
      <c r="M2197" s="4">
        <v>4.4629761640557581E-3</v>
      </c>
      <c r="N2197" t="s">
        <v>256</v>
      </c>
      <c r="O2197" t="s">
        <v>369</v>
      </c>
      <c r="P2197" t="s">
        <v>368</v>
      </c>
      <c r="Q2197" t="s">
        <v>245</v>
      </c>
    </row>
    <row r="2198" spans="1:18" x14ac:dyDescent="0.25">
      <c r="A2198" t="s">
        <v>368</v>
      </c>
      <c r="B2198" t="s">
        <v>113</v>
      </c>
      <c r="C2198" s="4">
        <v>3.2052283360036807E-2</v>
      </c>
      <c r="D2198" s="4">
        <v>3.2052283360036807E-2</v>
      </c>
      <c r="E2198" s="4">
        <v>3.2052283360036807E-2</v>
      </c>
      <c r="F2198" s="4">
        <v>3.2052283360036807E-2</v>
      </c>
      <c r="G2198" s="4">
        <v>3.2052283360036807E-2</v>
      </c>
      <c r="H2198" s="4">
        <v>3.2052283360036807E-2</v>
      </c>
      <c r="I2198" s="4">
        <v>3.2052283360036807E-2</v>
      </c>
      <c r="J2198" s="4">
        <v>3.2052283360036807E-2</v>
      </c>
      <c r="K2198" s="4">
        <v>3.2052283360036807E-2</v>
      </c>
      <c r="L2198" s="4">
        <v>3.2052283360036807E-2</v>
      </c>
      <c r="M2198" s="4">
        <v>3.2052283360036807E-2</v>
      </c>
      <c r="N2198" t="s">
        <v>256</v>
      </c>
      <c r="O2198" t="s">
        <v>369</v>
      </c>
      <c r="P2198" t="s">
        <v>368</v>
      </c>
      <c r="Q2198" t="s">
        <v>245</v>
      </c>
    </row>
    <row r="2199" spans="1:18" x14ac:dyDescent="0.25">
      <c r="A2199" t="s">
        <v>377</v>
      </c>
      <c r="B2199" t="s">
        <v>83</v>
      </c>
      <c r="C2199" s="4">
        <v>0.11966302713727529</v>
      </c>
      <c r="D2199" s="4">
        <v>0.11966302713727529</v>
      </c>
      <c r="E2199" s="4">
        <v>0.11966302713727529</v>
      </c>
      <c r="F2199" s="4">
        <v>0.11966302713727529</v>
      </c>
      <c r="G2199" s="4">
        <v>0.11966302713727529</v>
      </c>
      <c r="H2199" s="4">
        <v>0.11966302713727529</v>
      </c>
      <c r="I2199" s="4">
        <v>0.11966302713727529</v>
      </c>
      <c r="J2199" s="4">
        <v>0.11966302713727529</v>
      </c>
      <c r="K2199" s="4">
        <v>0.11966302713727529</v>
      </c>
      <c r="L2199" s="4">
        <v>0.11966302713727529</v>
      </c>
      <c r="M2199" s="4">
        <v>0.11966302713727529</v>
      </c>
      <c r="N2199" t="s">
        <v>242</v>
      </c>
      <c r="O2199" t="s">
        <v>376</v>
      </c>
      <c r="P2199" t="s">
        <v>377</v>
      </c>
      <c r="Q2199" t="s">
        <v>245</v>
      </c>
      <c r="R2199" t="s">
        <v>569</v>
      </c>
    </row>
    <row r="2200" spans="1:18" x14ac:dyDescent="0.25">
      <c r="A2200" t="s">
        <v>377</v>
      </c>
      <c r="B2200" t="s">
        <v>144</v>
      </c>
      <c r="C2200" s="4">
        <v>5.0946559961454778E-5</v>
      </c>
      <c r="D2200" s="4">
        <v>5.0946559961454778E-5</v>
      </c>
      <c r="E2200" s="4">
        <v>5.0946559961454778E-5</v>
      </c>
      <c r="F2200" s="4">
        <v>5.0946559961454778E-5</v>
      </c>
      <c r="G2200" s="4">
        <v>5.0946559961454778E-5</v>
      </c>
      <c r="H2200" s="4">
        <v>5.0946559961454778E-5</v>
      </c>
      <c r="I2200" s="4">
        <v>5.0946559961454778E-5</v>
      </c>
      <c r="J2200" s="4">
        <v>5.0946559961454778E-5</v>
      </c>
      <c r="K2200" s="4">
        <v>5.0946559961454778E-5</v>
      </c>
      <c r="L2200" s="4">
        <v>5.0946559961454778E-5</v>
      </c>
      <c r="M2200" s="4">
        <v>5.0946559961454778E-5</v>
      </c>
      <c r="N2200" t="s">
        <v>242</v>
      </c>
      <c r="O2200" t="s">
        <v>376</v>
      </c>
      <c r="P2200" t="s">
        <v>377</v>
      </c>
      <c r="Q2200" t="s">
        <v>245</v>
      </c>
    </row>
    <row r="2201" spans="1:18" x14ac:dyDescent="0.25">
      <c r="A2201" t="s">
        <v>377</v>
      </c>
      <c r="B2201" t="s">
        <v>85</v>
      </c>
      <c r="C2201" s="4">
        <v>5.2589480228827611E-2</v>
      </c>
      <c r="D2201" s="4">
        <v>5.2589480228827611E-2</v>
      </c>
      <c r="E2201" s="4">
        <v>5.2589480228827611E-2</v>
      </c>
      <c r="F2201" s="4">
        <v>5.2589480228827611E-2</v>
      </c>
      <c r="G2201" s="4">
        <v>5.2589480228827611E-2</v>
      </c>
      <c r="H2201" s="4">
        <v>5.2589480228827611E-2</v>
      </c>
      <c r="I2201" s="4">
        <v>5.2589480228827611E-2</v>
      </c>
      <c r="J2201" s="4">
        <v>5.2589480228827611E-2</v>
      </c>
      <c r="K2201" s="4">
        <v>5.2589480228827611E-2</v>
      </c>
      <c r="L2201" s="4">
        <v>5.2589480228827611E-2</v>
      </c>
      <c r="M2201" s="4">
        <v>5.2589480228827611E-2</v>
      </c>
      <c r="N2201" t="s">
        <v>242</v>
      </c>
      <c r="O2201" t="s">
        <v>376</v>
      </c>
      <c r="P2201" t="s">
        <v>377</v>
      </c>
      <c r="Q2201" t="s">
        <v>245</v>
      </c>
    </row>
    <row r="2202" spans="1:18" x14ac:dyDescent="0.25">
      <c r="A2202" t="s">
        <v>377</v>
      </c>
      <c r="B2202" t="s">
        <v>147</v>
      </c>
      <c r="C2202" s="4">
        <v>7.3304402822237102E-6</v>
      </c>
      <c r="D2202" s="4">
        <v>7.3304402822237102E-6</v>
      </c>
      <c r="E2202" s="4">
        <v>7.3304402822237102E-6</v>
      </c>
      <c r="F2202" s="4">
        <v>7.3304402822237102E-6</v>
      </c>
      <c r="G2202" s="4">
        <v>7.3304402822237102E-6</v>
      </c>
      <c r="H2202" s="4">
        <v>7.3304402822237102E-6</v>
      </c>
      <c r="I2202" s="4">
        <v>7.3304402822237102E-6</v>
      </c>
      <c r="J2202" s="4">
        <v>7.3304402822237102E-6</v>
      </c>
      <c r="K2202" s="4">
        <v>7.3304402822237102E-6</v>
      </c>
      <c r="L2202" s="4">
        <v>7.3304402822237102E-6</v>
      </c>
      <c r="M2202" s="4">
        <v>7.3304402822237102E-6</v>
      </c>
      <c r="N2202" t="s">
        <v>242</v>
      </c>
      <c r="O2202" t="s">
        <v>376</v>
      </c>
      <c r="P2202" t="s">
        <v>377</v>
      </c>
      <c r="Q2202" t="s">
        <v>245</v>
      </c>
    </row>
    <row r="2203" spans="1:18" x14ac:dyDescent="0.25">
      <c r="A2203" t="s">
        <v>377</v>
      </c>
      <c r="B2203" t="s">
        <v>86</v>
      </c>
      <c r="C2203" s="4">
        <v>0.1435300207259402</v>
      </c>
      <c r="D2203" s="4">
        <v>0.1435300207259402</v>
      </c>
      <c r="E2203" s="4">
        <v>0.1435300207259402</v>
      </c>
      <c r="F2203" s="4">
        <v>0.1435300207259402</v>
      </c>
      <c r="G2203" s="4">
        <v>0.1435300207259402</v>
      </c>
      <c r="H2203" s="4">
        <v>0.1435300207259402</v>
      </c>
      <c r="I2203" s="4">
        <v>0.1435300207259402</v>
      </c>
      <c r="J2203" s="4">
        <v>0.1435300207259402</v>
      </c>
      <c r="K2203" s="4">
        <v>0.1435300207259402</v>
      </c>
      <c r="L2203" s="4">
        <v>0.1435300207259402</v>
      </c>
      <c r="M2203" s="4">
        <v>0.1435300207259402</v>
      </c>
      <c r="N2203" t="s">
        <v>242</v>
      </c>
      <c r="O2203" t="s">
        <v>376</v>
      </c>
      <c r="P2203" t="s">
        <v>377</v>
      </c>
      <c r="Q2203" t="s">
        <v>245</v>
      </c>
    </row>
    <row r="2204" spans="1:18" x14ac:dyDescent="0.25">
      <c r="A2204" t="s">
        <v>377</v>
      </c>
      <c r="B2204" t="s">
        <v>87</v>
      </c>
      <c r="C2204" s="4">
        <v>4.8894036682432148E-6</v>
      </c>
      <c r="D2204" s="4">
        <v>4.8894036682432148E-6</v>
      </c>
      <c r="E2204" s="4">
        <v>4.8894036682432148E-6</v>
      </c>
      <c r="F2204" s="4">
        <v>4.8894036682432148E-6</v>
      </c>
      <c r="G2204" s="4">
        <v>4.8894036682432148E-6</v>
      </c>
      <c r="H2204" s="4">
        <v>4.8894036682432148E-6</v>
      </c>
      <c r="I2204" s="4">
        <v>4.8894036682432148E-6</v>
      </c>
      <c r="J2204" s="4">
        <v>4.8894036682432148E-6</v>
      </c>
      <c r="K2204" s="4">
        <v>4.8894036682432148E-6</v>
      </c>
      <c r="L2204" s="4">
        <v>4.8894036682432148E-6</v>
      </c>
      <c r="M2204" s="4">
        <v>4.8894036682432148E-6</v>
      </c>
      <c r="N2204" t="s">
        <v>242</v>
      </c>
      <c r="O2204" t="s">
        <v>376</v>
      </c>
      <c r="P2204" t="s">
        <v>377</v>
      </c>
      <c r="Q2204" t="s">
        <v>245</v>
      </c>
    </row>
    <row r="2205" spans="1:18" x14ac:dyDescent="0.25">
      <c r="A2205" t="s">
        <v>377</v>
      </c>
      <c r="B2205" t="s">
        <v>159</v>
      </c>
      <c r="C2205" s="4">
        <v>1.092931993878144E-4</v>
      </c>
      <c r="D2205" s="4">
        <v>1.092931993878144E-4</v>
      </c>
      <c r="E2205" s="4">
        <v>1.092931993878144E-4</v>
      </c>
      <c r="F2205" s="4">
        <v>1.092931993878144E-4</v>
      </c>
      <c r="G2205" s="4">
        <v>1.092931993878144E-4</v>
      </c>
      <c r="H2205" s="4">
        <v>1.092931993878144E-4</v>
      </c>
      <c r="I2205" s="4">
        <v>1.092931993878144E-4</v>
      </c>
      <c r="J2205" s="4">
        <v>1.092931993878144E-4</v>
      </c>
      <c r="K2205" s="4">
        <v>1.092931993878144E-4</v>
      </c>
      <c r="L2205" s="4">
        <v>1.092931993878144E-4</v>
      </c>
      <c r="M2205" s="4">
        <v>1.092931993878144E-4</v>
      </c>
      <c r="N2205" t="s">
        <v>242</v>
      </c>
      <c r="O2205" t="s">
        <v>376</v>
      </c>
      <c r="P2205" t="s">
        <v>377</v>
      </c>
      <c r="Q2205" t="s">
        <v>245</v>
      </c>
    </row>
    <row r="2206" spans="1:18" x14ac:dyDescent="0.25">
      <c r="A2206" t="s">
        <v>377</v>
      </c>
      <c r="B2206" t="s">
        <v>128</v>
      </c>
      <c r="C2206" s="4">
        <v>2.033442142968011E-3</v>
      </c>
      <c r="D2206" s="4">
        <v>2.033442142968011E-3</v>
      </c>
      <c r="E2206" s="4">
        <v>2.033442142968011E-3</v>
      </c>
      <c r="F2206" s="4">
        <v>2.033442142968011E-3</v>
      </c>
      <c r="G2206" s="4">
        <v>2.033442142968011E-3</v>
      </c>
      <c r="H2206" s="4">
        <v>2.033442142968011E-3</v>
      </c>
      <c r="I2206" s="4">
        <v>2.033442142968011E-3</v>
      </c>
      <c r="J2206" s="4">
        <v>2.033442142968011E-3</v>
      </c>
      <c r="K2206" s="4">
        <v>2.033442142968011E-3</v>
      </c>
      <c r="L2206" s="4">
        <v>2.033442142968011E-3</v>
      </c>
      <c r="M2206" s="4">
        <v>2.033442142968011E-3</v>
      </c>
      <c r="N2206" t="s">
        <v>242</v>
      </c>
      <c r="O2206" t="s">
        <v>376</v>
      </c>
      <c r="P2206" t="s">
        <v>377</v>
      </c>
      <c r="Q2206" t="s">
        <v>245</v>
      </c>
    </row>
    <row r="2207" spans="1:18" x14ac:dyDescent="0.25">
      <c r="A2207" t="s">
        <v>377</v>
      </c>
      <c r="B2207" t="s">
        <v>195</v>
      </c>
      <c r="C2207" s="4">
        <v>0.1326626430075436</v>
      </c>
      <c r="D2207" s="4">
        <v>0.1326626430075436</v>
      </c>
      <c r="E2207" s="4">
        <v>0.1326626430075436</v>
      </c>
      <c r="F2207" s="4">
        <v>0.1326626430075436</v>
      </c>
      <c r="G2207" s="4">
        <v>0.1326626430075436</v>
      </c>
      <c r="H2207" s="4">
        <v>0.1326626430075436</v>
      </c>
      <c r="I2207" s="4">
        <v>0.1326626430075436</v>
      </c>
      <c r="J2207" s="4">
        <v>0.1326626430075436</v>
      </c>
      <c r="K2207" s="4">
        <v>0.1326626430075436</v>
      </c>
      <c r="L2207" s="4">
        <v>0.1326626430075436</v>
      </c>
      <c r="M2207" s="4">
        <v>0.1326626430075436</v>
      </c>
      <c r="N2207" t="s">
        <v>242</v>
      </c>
      <c r="O2207" t="s">
        <v>376</v>
      </c>
      <c r="P2207" t="s">
        <v>377</v>
      </c>
      <c r="Q2207" t="s">
        <v>245</v>
      </c>
    </row>
    <row r="2208" spans="1:18" x14ac:dyDescent="0.25">
      <c r="A2208" t="s">
        <v>377</v>
      </c>
      <c r="B2208" t="s">
        <v>169</v>
      </c>
      <c r="C2208" s="4">
        <v>6.0824914676973806E-3</v>
      </c>
      <c r="D2208" s="4">
        <v>6.0824914676973806E-3</v>
      </c>
      <c r="E2208" s="4">
        <v>6.0824914676973806E-3</v>
      </c>
      <c r="F2208" s="4">
        <v>6.0824914676973806E-3</v>
      </c>
      <c r="G2208" s="4">
        <v>6.0824914676973806E-3</v>
      </c>
      <c r="H2208" s="4">
        <v>6.0824914676973806E-3</v>
      </c>
      <c r="I2208" s="4">
        <v>6.0824914676973806E-3</v>
      </c>
      <c r="J2208" s="4">
        <v>6.0824914676973806E-3</v>
      </c>
      <c r="K2208" s="4">
        <v>6.0824914676973806E-3</v>
      </c>
      <c r="L2208" s="4">
        <v>6.0824914676973806E-3</v>
      </c>
      <c r="M2208" s="4">
        <v>6.0824914676973806E-3</v>
      </c>
      <c r="N2208" t="s">
        <v>242</v>
      </c>
      <c r="O2208" t="s">
        <v>376</v>
      </c>
      <c r="P2208" t="s">
        <v>377</v>
      </c>
      <c r="Q2208" t="s">
        <v>245</v>
      </c>
    </row>
    <row r="2209" spans="1:17" x14ac:dyDescent="0.25">
      <c r="A2209" t="s">
        <v>377</v>
      </c>
      <c r="B2209" t="s">
        <v>92</v>
      </c>
      <c r="C2209" s="4">
        <v>6.8290880139135271E-2</v>
      </c>
      <c r="D2209" s="4">
        <v>6.8290880139135271E-2</v>
      </c>
      <c r="E2209" s="4">
        <v>6.8290880139135271E-2</v>
      </c>
      <c r="F2209" s="4">
        <v>6.8290880139135271E-2</v>
      </c>
      <c r="G2209" s="4">
        <v>6.8290880139135271E-2</v>
      </c>
      <c r="H2209" s="4">
        <v>6.8290880139135271E-2</v>
      </c>
      <c r="I2209" s="4">
        <v>6.8290880139135271E-2</v>
      </c>
      <c r="J2209" s="4">
        <v>6.8290880139135271E-2</v>
      </c>
      <c r="K2209" s="4">
        <v>6.8290880139135271E-2</v>
      </c>
      <c r="L2209" s="4">
        <v>6.8290880139135271E-2</v>
      </c>
      <c r="M2209" s="4">
        <v>6.8290880139135271E-2</v>
      </c>
      <c r="N2209" t="s">
        <v>242</v>
      </c>
      <c r="O2209" t="s">
        <v>376</v>
      </c>
      <c r="P2209" t="s">
        <v>377</v>
      </c>
      <c r="Q2209" t="s">
        <v>245</v>
      </c>
    </row>
    <row r="2210" spans="1:17" x14ac:dyDescent="0.25">
      <c r="A2210" t="s">
        <v>377</v>
      </c>
      <c r="B2210" t="s">
        <v>97</v>
      </c>
      <c r="C2210" s="4">
        <v>4.9389816350039778E-2</v>
      </c>
      <c r="D2210" s="4">
        <v>4.9389816350039778E-2</v>
      </c>
      <c r="E2210" s="4">
        <v>4.9389816350039778E-2</v>
      </c>
      <c r="F2210" s="4">
        <v>4.9389816350039778E-2</v>
      </c>
      <c r="G2210" s="4">
        <v>4.9389816350039778E-2</v>
      </c>
      <c r="H2210" s="4">
        <v>4.9389816350039778E-2</v>
      </c>
      <c r="I2210" s="4">
        <v>4.9389816350039778E-2</v>
      </c>
      <c r="J2210" s="4">
        <v>4.9389816350039778E-2</v>
      </c>
      <c r="K2210" s="4">
        <v>4.9389816350039778E-2</v>
      </c>
      <c r="L2210" s="4">
        <v>4.9389816350039778E-2</v>
      </c>
      <c r="M2210" s="4">
        <v>4.9389816350039778E-2</v>
      </c>
      <c r="N2210" t="s">
        <v>242</v>
      </c>
      <c r="O2210" t="s">
        <v>376</v>
      </c>
      <c r="P2210" t="s">
        <v>377</v>
      </c>
      <c r="Q2210" t="s">
        <v>245</v>
      </c>
    </row>
    <row r="2211" spans="1:17" x14ac:dyDescent="0.25">
      <c r="A2211" t="s">
        <v>377</v>
      </c>
      <c r="B2211" t="s">
        <v>99</v>
      </c>
      <c r="C2211" s="4">
        <v>3.4451200064179472E-3</v>
      </c>
      <c r="D2211" s="4">
        <v>3.4451200064179472E-3</v>
      </c>
      <c r="E2211" s="4">
        <v>3.4451200064179472E-3</v>
      </c>
      <c r="F2211" s="4">
        <v>3.4451200064179472E-3</v>
      </c>
      <c r="G2211" s="4">
        <v>3.4451200064179472E-3</v>
      </c>
      <c r="H2211" s="4">
        <v>3.4451200064179472E-3</v>
      </c>
      <c r="I2211" s="4">
        <v>3.4451200064179472E-3</v>
      </c>
      <c r="J2211" s="4">
        <v>3.4451200064179472E-3</v>
      </c>
      <c r="K2211" s="4">
        <v>3.4451200064179472E-3</v>
      </c>
      <c r="L2211" s="4">
        <v>3.4451200064179472E-3</v>
      </c>
      <c r="M2211" s="4">
        <v>3.4451200064179472E-3</v>
      </c>
      <c r="N2211" t="s">
        <v>242</v>
      </c>
      <c r="O2211" t="s">
        <v>376</v>
      </c>
      <c r="P2211" t="s">
        <v>377</v>
      </c>
      <c r="Q2211" t="s">
        <v>245</v>
      </c>
    </row>
    <row r="2212" spans="1:17" x14ac:dyDescent="0.25">
      <c r="A2212" t="s">
        <v>377</v>
      </c>
      <c r="B2212" t="s">
        <v>100</v>
      </c>
      <c r="C2212" s="4">
        <v>1.9608029776013849E-2</v>
      </c>
      <c r="D2212" s="4">
        <v>1.9608029776013849E-2</v>
      </c>
      <c r="E2212" s="4">
        <v>1.9608029776013849E-2</v>
      </c>
      <c r="F2212" s="4">
        <v>1.9608029776013849E-2</v>
      </c>
      <c r="G2212" s="4">
        <v>1.9608029776013849E-2</v>
      </c>
      <c r="H2212" s="4">
        <v>1.9608029776013849E-2</v>
      </c>
      <c r="I2212" s="4">
        <v>1.9608029776013849E-2</v>
      </c>
      <c r="J2212" s="4">
        <v>1.9608029776013849E-2</v>
      </c>
      <c r="K2212" s="4">
        <v>1.9608029776013849E-2</v>
      </c>
      <c r="L2212" s="4">
        <v>1.9608029776013849E-2</v>
      </c>
      <c r="M2212" s="4">
        <v>1.9608029776013849E-2</v>
      </c>
      <c r="N2212" t="s">
        <v>242</v>
      </c>
      <c r="O2212" t="s">
        <v>376</v>
      </c>
      <c r="P2212" t="s">
        <v>377</v>
      </c>
      <c r="Q2212" t="s">
        <v>245</v>
      </c>
    </row>
    <row r="2213" spans="1:17" x14ac:dyDescent="0.25">
      <c r="A2213" t="s">
        <v>377</v>
      </c>
      <c r="B2213" t="s">
        <v>102</v>
      </c>
      <c r="C2213" s="4">
        <v>2.23277880556252E-2</v>
      </c>
      <c r="D2213" s="4">
        <v>2.23277880556252E-2</v>
      </c>
      <c r="E2213" s="4">
        <v>2.23277880556252E-2</v>
      </c>
      <c r="F2213" s="4">
        <v>2.23277880556252E-2</v>
      </c>
      <c r="G2213" s="4">
        <v>2.23277880556252E-2</v>
      </c>
      <c r="H2213" s="4">
        <v>2.23277880556252E-2</v>
      </c>
      <c r="I2213" s="4">
        <v>2.23277880556252E-2</v>
      </c>
      <c r="J2213" s="4">
        <v>2.23277880556252E-2</v>
      </c>
      <c r="K2213" s="4">
        <v>2.23277880556252E-2</v>
      </c>
      <c r="L2213" s="4">
        <v>2.23277880556252E-2</v>
      </c>
      <c r="M2213" s="4">
        <v>2.23277880556252E-2</v>
      </c>
      <c r="N2213" t="s">
        <v>242</v>
      </c>
      <c r="O2213" t="s">
        <v>376</v>
      </c>
      <c r="P2213" t="s">
        <v>377</v>
      </c>
      <c r="Q2213" t="s">
        <v>245</v>
      </c>
    </row>
    <row r="2214" spans="1:17" x14ac:dyDescent="0.25">
      <c r="A2214" t="s">
        <v>377</v>
      </c>
      <c r="B2214" t="s">
        <v>103</v>
      </c>
      <c r="C2214" s="4">
        <v>1.8905212818295231E-2</v>
      </c>
      <c r="D2214" s="4">
        <v>1.8905212818295231E-2</v>
      </c>
      <c r="E2214" s="4">
        <v>1.8905212818295231E-2</v>
      </c>
      <c r="F2214" s="4">
        <v>1.8905212818295231E-2</v>
      </c>
      <c r="G2214" s="4">
        <v>1.8905212818295231E-2</v>
      </c>
      <c r="H2214" s="4">
        <v>1.8905212818295231E-2</v>
      </c>
      <c r="I2214" s="4">
        <v>1.8905212818295231E-2</v>
      </c>
      <c r="J2214" s="4">
        <v>1.8905212818295231E-2</v>
      </c>
      <c r="K2214" s="4">
        <v>1.8905212818295231E-2</v>
      </c>
      <c r="L2214" s="4">
        <v>1.8905212818295231E-2</v>
      </c>
      <c r="M2214" s="4">
        <v>1.8905212818295231E-2</v>
      </c>
      <c r="N2214" t="s">
        <v>242</v>
      </c>
      <c r="O2214" t="s">
        <v>376</v>
      </c>
      <c r="P2214" t="s">
        <v>377</v>
      </c>
      <c r="Q2214" t="s">
        <v>245</v>
      </c>
    </row>
    <row r="2215" spans="1:17" x14ac:dyDescent="0.25">
      <c r="A2215" t="s">
        <v>377</v>
      </c>
      <c r="B2215" t="s">
        <v>150</v>
      </c>
      <c r="C2215" s="4">
        <v>1.018285020918218E-2</v>
      </c>
      <c r="D2215" s="4">
        <v>1.018285020918218E-2</v>
      </c>
      <c r="E2215" s="4">
        <v>1.018285020918218E-2</v>
      </c>
      <c r="F2215" s="4">
        <v>1.018285020918218E-2</v>
      </c>
      <c r="G2215" s="4">
        <v>1.018285020918218E-2</v>
      </c>
      <c r="H2215" s="4">
        <v>1.018285020918218E-2</v>
      </c>
      <c r="I2215" s="4">
        <v>1.018285020918218E-2</v>
      </c>
      <c r="J2215" s="4">
        <v>1.018285020918218E-2</v>
      </c>
      <c r="K2215" s="4">
        <v>1.018285020918218E-2</v>
      </c>
      <c r="L2215" s="4">
        <v>1.018285020918218E-2</v>
      </c>
      <c r="M2215" s="4">
        <v>1.018285020918218E-2</v>
      </c>
      <c r="N2215" t="s">
        <v>242</v>
      </c>
      <c r="O2215" t="s">
        <v>376</v>
      </c>
      <c r="P2215" t="s">
        <v>377</v>
      </c>
      <c r="Q2215" t="s">
        <v>245</v>
      </c>
    </row>
    <row r="2216" spans="1:17" x14ac:dyDescent="0.25">
      <c r="A2216" t="s">
        <v>377</v>
      </c>
      <c r="B2216" t="s">
        <v>161</v>
      </c>
      <c r="C2216" s="4">
        <v>1.5314865794226009E-3</v>
      </c>
      <c r="D2216" s="4">
        <v>1.5314865794226009E-3</v>
      </c>
      <c r="E2216" s="4">
        <v>1.5314865794226009E-3</v>
      </c>
      <c r="F2216" s="4">
        <v>1.5314865794226009E-3</v>
      </c>
      <c r="G2216" s="4">
        <v>1.5314865794226009E-3</v>
      </c>
      <c r="H2216" s="4">
        <v>1.5314865794226009E-3</v>
      </c>
      <c r="I2216" s="4">
        <v>1.5314865794226009E-3</v>
      </c>
      <c r="J2216" s="4">
        <v>1.5314865794226009E-3</v>
      </c>
      <c r="K2216" s="4">
        <v>1.5314865794226009E-3</v>
      </c>
      <c r="L2216" s="4">
        <v>1.5314865794226009E-3</v>
      </c>
      <c r="M2216" s="4">
        <v>1.5314865794226009E-3</v>
      </c>
      <c r="N2216" t="s">
        <v>242</v>
      </c>
      <c r="O2216" t="s">
        <v>376</v>
      </c>
      <c r="P2216" t="s">
        <v>377</v>
      </c>
      <c r="Q2216" t="s">
        <v>245</v>
      </c>
    </row>
    <row r="2217" spans="1:17" x14ac:dyDescent="0.25">
      <c r="A2217" t="s">
        <v>377</v>
      </c>
      <c r="B2217" t="s">
        <v>174</v>
      </c>
      <c r="C2217" s="4">
        <v>1.098099954277112E-2</v>
      </c>
      <c r="D2217" s="4">
        <v>1.098099954277112E-2</v>
      </c>
      <c r="E2217" s="4">
        <v>1.098099954277112E-2</v>
      </c>
      <c r="F2217" s="4">
        <v>1.098099954277112E-2</v>
      </c>
      <c r="G2217" s="4">
        <v>1.098099954277112E-2</v>
      </c>
      <c r="H2217" s="4">
        <v>1.098099954277112E-2</v>
      </c>
      <c r="I2217" s="4">
        <v>1.098099954277112E-2</v>
      </c>
      <c r="J2217" s="4">
        <v>1.098099954277112E-2</v>
      </c>
      <c r="K2217" s="4">
        <v>1.098099954277112E-2</v>
      </c>
      <c r="L2217" s="4">
        <v>1.098099954277112E-2</v>
      </c>
      <c r="M2217" s="4">
        <v>1.098099954277112E-2</v>
      </c>
      <c r="N2217" t="s">
        <v>242</v>
      </c>
      <c r="O2217" t="s">
        <v>376</v>
      </c>
      <c r="P2217" t="s">
        <v>377</v>
      </c>
      <c r="Q2217" t="s">
        <v>245</v>
      </c>
    </row>
    <row r="2218" spans="1:17" x14ac:dyDescent="0.25">
      <c r="A2218" t="s">
        <v>377</v>
      </c>
      <c r="B2218" t="s">
        <v>175</v>
      </c>
      <c r="C2218" s="4">
        <v>5.7975352626064988E-4</v>
      </c>
      <c r="D2218" s="4">
        <v>5.7975352626064988E-4</v>
      </c>
      <c r="E2218" s="4">
        <v>5.7975352626064988E-4</v>
      </c>
      <c r="F2218" s="4">
        <v>5.7975352626064988E-4</v>
      </c>
      <c r="G2218" s="4">
        <v>5.7975352626064988E-4</v>
      </c>
      <c r="H2218" s="4">
        <v>5.7975352626064988E-4</v>
      </c>
      <c r="I2218" s="4">
        <v>5.7975352626064988E-4</v>
      </c>
      <c r="J2218" s="4">
        <v>5.7975352626064988E-4</v>
      </c>
      <c r="K2218" s="4">
        <v>5.7975352626064988E-4</v>
      </c>
      <c r="L2218" s="4">
        <v>5.7975352626064988E-4</v>
      </c>
      <c r="M2218" s="4">
        <v>5.7975352626064988E-4</v>
      </c>
      <c r="N2218" t="s">
        <v>242</v>
      </c>
      <c r="O2218" t="s">
        <v>376</v>
      </c>
      <c r="P2218" t="s">
        <v>377</v>
      </c>
      <c r="Q2218" t="s">
        <v>245</v>
      </c>
    </row>
    <row r="2219" spans="1:17" x14ac:dyDescent="0.25">
      <c r="A2219" t="s">
        <v>377</v>
      </c>
      <c r="B2219" t="s">
        <v>133</v>
      </c>
      <c r="C2219" s="4">
        <v>5.7983782632389552E-4</v>
      </c>
      <c r="D2219" s="4">
        <v>5.7983782632389552E-4</v>
      </c>
      <c r="E2219" s="4">
        <v>5.7983782632389552E-4</v>
      </c>
      <c r="F2219" s="4">
        <v>5.7983782632389552E-4</v>
      </c>
      <c r="G2219" s="4">
        <v>5.7983782632389552E-4</v>
      </c>
      <c r="H2219" s="4">
        <v>5.7983782632389552E-4</v>
      </c>
      <c r="I2219" s="4">
        <v>5.7983782632389552E-4</v>
      </c>
      <c r="J2219" s="4">
        <v>5.7983782632389552E-4</v>
      </c>
      <c r="K2219" s="4">
        <v>5.7983782632389552E-4</v>
      </c>
      <c r="L2219" s="4">
        <v>5.7983782632389552E-4</v>
      </c>
      <c r="M2219" s="4">
        <v>5.7983782632389552E-4</v>
      </c>
      <c r="N2219" t="s">
        <v>242</v>
      </c>
      <c r="O2219" t="s">
        <v>376</v>
      </c>
      <c r="P2219" t="s">
        <v>377</v>
      </c>
      <c r="Q2219" t="s">
        <v>245</v>
      </c>
    </row>
    <row r="2220" spans="1:17" x14ac:dyDescent="0.25">
      <c r="A2220" t="s">
        <v>377</v>
      </c>
      <c r="B2220" t="s">
        <v>146</v>
      </c>
      <c r="C2220" s="4">
        <v>4.8879375801867697E-4</v>
      </c>
      <c r="D2220" s="4">
        <v>4.8879375801867697E-4</v>
      </c>
      <c r="E2220" s="4">
        <v>4.8879375801867697E-4</v>
      </c>
      <c r="F2220" s="4">
        <v>4.8879375801867697E-4</v>
      </c>
      <c r="G2220" s="4">
        <v>4.8879375801867697E-4</v>
      </c>
      <c r="H2220" s="4">
        <v>4.8879375801867697E-4</v>
      </c>
      <c r="I2220" s="4">
        <v>4.8879375801867697E-4</v>
      </c>
      <c r="J2220" s="4">
        <v>4.8879375801867697E-4</v>
      </c>
      <c r="K2220" s="4">
        <v>4.8879375801867697E-4</v>
      </c>
      <c r="L2220" s="4">
        <v>4.8879375801867697E-4</v>
      </c>
      <c r="M2220" s="4">
        <v>4.8879375801867697E-4</v>
      </c>
      <c r="N2220" t="s">
        <v>242</v>
      </c>
      <c r="O2220" t="s">
        <v>376</v>
      </c>
      <c r="P2220" t="s">
        <v>377</v>
      </c>
      <c r="Q2220" t="s">
        <v>245</v>
      </c>
    </row>
    <row r="2221" spans="1:17" x14ac:dyDescent="0.25">
      <c r="A2221" t="s">
        <v>377</v>
      </c>
      <c r="B2221" t="s">
        <v>120</v>
      </c>
      <c r="C2221" s="4">
        <v>5.0213515933232415E-4</v>
      </c>
      <c r="D2221" s="4">
        <v>5.0213515933232415E-4</v>
      </c>
      <c r="E2221" s="4">
        <v>5.0213515933232415E-4</v>
      </c>
      <c r="F2221" s="4">
        <v>5.0213515933232415E-4</v>
      </c>
      <c r="G2221" s="4">
        <v>5.0213515933232415E-4</v>
      </c>
      <c r="H2221" s="4">
        <v>5.0213515933232415E-4</v>
      </c>
      <c r="I2221" s="4">
        <v>5.0213515933232415E-4</v>
      </c>
      <c r="J2221" s="4">
        <v>5.0213515933232415E-4</v>
      </c>
      <c r="K2221" s="4">
        <v>5.0213515933232415E-4</v>
      </c>
      <c r="L2221" s="4">
        <v>5.0213515933232415E-4</v>
      </c>
      <c r="M2221" s="4">
        <v>5.0213515933232415E-4</v>
      </c>
      <c r="N2221" t="s">
        <v>242</v>
      </c>
      <c r="O2221" t="s">
        <v>376</v>
      </c>
      <c r="P2221" t="s">
        <v>377</v>
      </c>
      <c r="Q2221" t="s">
        <v>245</v>
      </c>
    </row>
    <row r="2222" spans="1:17" x14ac:dyDescent="0.25">
      <c r="A2222" t="s">
        <v>377</v>
      </c>
      <c r="B2222" t="s">
        <v>137</v>
      </c>
      <c r="C2222" s="4">
        <v>0.29844764952144609</v>
      </c>
      <c r="D2222" s="4">
        <v>0.29844764952144609</v>
      </c>
      <c r="E2222" s="4">
        <v>0.29844764952144609</v>
      </c>
      <c r="F2222" s="4">
        <v>0.29844764952144609</v>
      </c>
      <c r="G2222" s="4">
        <v>0.29844764952144609</v>
      </c>
      <c r="H2222" s="4">
        <v>0.29844764952144609</v>
      </c>
      <c r="I2222" s="4">
        <v>0.29844764952144609</v>
      </c>
      <c r="J2222" s="4">
        <v>0.29844764952144609</v>
      </c>
      <c r="K2222" s="4">
        <v>0.29844764952144609</v>
      </c>
      <c r="L2222" s="4">
        <v>0.29844764952144609</v>
      </c>
      <c r="M2222" s="4">
        <v>0.29844764952144609</v>
      </c>
      <c r="N2222" t="s">
        <v>242</v>
      </c>
      <c r="O2222" t="s">
        <v>376</v>
      </c>
      <c r="P2222" t="s">
        <v>377</v>
      </c>
      <c r="Q2222" t="s">
        <v>245</v>
      </c>
    </row>
    <row r="2223" spans="1:17" x14ac:dyDescent="0.25">
      <c r="A2223" t="s">
        <v>377</v>
      </c>
      <c r="B2223" t="s">
        <v>157</v>
      </c>
      <c r="C2223" s="4">
        <v>3.2986981270006703E-5</v>
      </c>
      <c r="D2223" s="4">
        <v>3.2986981270006703E-5</v>
      </c>
      <c r="E2223" s="4">
        <v>3.2986981270006703E-5</v>
      </c>
      <c r="F2223" s="4">
        <v>3.2986981270006703E-5</v>
      </c>
      <c r="G2223" s="4">
        <v>3.2986981270006703E-5</v>
      </c>
      <c r="H2223" s="4">
        <v>3.2986981270006703E-5</v>
      </c>
      <c r="I2223" s="4">
        <v>3.2986981270006703E-5</v>
      </c>
      <c r="J2223" s="4">
        <v>3.2986981270006703E-5</v>
      </c>
      <c r="K2223" s="4">
        <v>3.2986981270006703E-5</v>
      </c>
      <c r="L2223" s="4">
        <v>3.2986981270006703E-5</v>
      </c>
      <c r="M2223" s="4">
        <v>3.2986981270006703E-5</v>
      </c>
      <c r="N2223" t="s">
        <v>242</v>
      </c>
      <c r="O2223" t="s">
        <v>376</v>
      </c>
      <c r="P2223" t="s">
        <v>377</v>
      </c>
      <c r="Q2223" t="s">
        <v>245</v>
      </c>
    </row>
    <row r="2224" spans="1:17" x14ac:dyDescent="0.25">
      <c r="A2224" t="s">
        <v>377</v>
      </c>
      <c r="B2224" t="s">
        <v>215</v>
      </c>
      <c r="C2224" s="4">
        <v>6.6780310971057994E-5</v>
      </c>
      <c r="D2224" s="4">
        <v>6.6780310971057994E-5</v>
      </c>
      <c r="E2224" s="4">
        <v>6.6780310971057994E-5</v>
      </c>
      <c r="F2224" s="4">
        <v>6.6780310971057994E-5</v>
      </c>
      <c r="G2224" s="4">
        <v>6.6780310971057994E-5</v>
      </c>
      <c r="H2224" s="4">
        <v>6.6780310971057994E-5</v>
      </c>
      <c r="I2224" s="4">
        <v>6.6780310971057994E-5</v>
      </c>
      <c r="J2224" s="4">
        <v>6.6780310971057994E-5</v>
      </c>
      <c r="K2224" s="4">
        <v>6.6780310971057994E-5</v>
      </c>
      <c r="L2224" s="4">
        <v>6.6780310971057994E-5</v>
      </c>
      <c r="M2224" s="4">
        <v>6.6780310971057994E-5</v>
      </c>
      <c r="N2224" t="s">
        <v>242</v>
      </c>
      <c r="O2224" t="s">
        <v>376</v>
      </c>
      <c r="P2224" t="s">
        <v>377</v>
      </c>
      <c r="Q2224" t="s">
        <v>245</v>
      </c>
    </row>
    <row r="2225" spans="1:18" x14ac:dyDescent="0.25">
      <c r="A2225" t="s">
        <v>377</v>
      </c>
      <c r="B2225" t="s">
        <v>112</v>
      </c>
      <c r="C2225" s="4">
        <v>1.706841706633815E-3</v>
      </c>
      <c r="D2225" s="4">
        <v>1.706841706633815E-3</v>
      </c>
      <c r="E2225" s="4">
        <v>1.706841706633815E-3</v>
      </c>
      <c r="F2225" s="4">
        <v>1.706841706633815E-3</v>
      </c>
      <c r="G2225" s="4">
        <v>1.706841706633815E-3</v>
      </c>
      <c r="H2225" s="4">
        <v>1.706841706633815E-3</v>
      </c>
      <c r="I2225" s="4">
        <v>1.706841706633815E-3</v>
      </c>
      <c r="J2225" s="4">
        <v>1.706841706633815E-3</v>
      </c>
      <c r="K2225" s="4">
        <v>1.706841706633815E-3</v>
      </c>
      <c r="L2225" s="4">
        <v>1.706841706633815E-3</v>
      </c>
      <c r="M2225" s="4">
        <v>1.706841706633815E-3</v>
      </c>
      <c r="N2225" t="s">
        <v>242</v>
      </c>
      <c r="O2225" t="s">
        <v>376</v>
      </c>
      <c r="P2225" t="s">
        <v>377</v>
      </c>
      <c r="Q2225" t="s">
        <v>245</v>
      </c>
    </row>
    <row r="2226" spans="1:18" x14ac:dyDescent="0.25">
      <c r="A2226" t="s">
        <v>377</v>
      </c>
      <c r="B2226" t="s">
        <v>122</v>
      </c>
      <c r="C2226" s="4">
        <v>3.3564502677201409E-2</v>
      </c>
      <c r="D2226" s="4">
        <v>3.3564502677201409E-2</v>
      </c>
      <c r="E2226" s="4">
        <v>3.3564502677201409E-2</v>
      </c>
      <c r="F2226" s="4">
        <v>3.3564502677201409E-2</v>
      </c>
      <c r="G2226" s="4">
        <v>3.3564502677201409E-2</v>
      </c>
      <c r="H2226" s="4">
        <v>3.3564502677201409E-2</v>
      </c>
      <c r="I2226" s="4">
        <v>3.3564502677201409E-2</v>
      </c>
      <c r="J2226" s="4">
        <v>3.3564502677201409E-2</v>
      </c>
      <c r="K2226" s="4">
        <v>3.3564502677201409E-2</v>
      </c>
      <c r="L2226" s="4">
        <v>3.3564502677201409E-2</v>
      </c>
      <c r="M2226" s="4">
        <v>3.3564502677201409E-2</v>
      </c>
      <c r="N2226" t="s">
        <v>242</v>
      </c>
      <c r="O2226" t="s">
        <v>376</v>
      </c>
      <c r="P2226" t="s">
        <v>377</v>
      </c>
      <c r="Q2226" t="s">
        <v>245</v>
      </c>
    </row>
    <row r="2227" spans="1:18" x14ac:dyDescent="0.25">
      <c r="A2227" t="s">
        <v>377</v>
      </c>
      <c r="B2227" t="s">
        <v>115</v>
      </c>
      <c r="C2227" s="4">
        <v>1.29858749599593E-3</v>
      </c>
      <c r="D2227" s="4">
        <v>1.29858749599593E-3</v>
      </c>
      <c r="E2227" s="4">
        <v>1.29858749599593E-3</v>
      </c>
      <c r="F2227" s="4">
        <v>1.29858749599593E-3</v>
      </c>
      <c r="G2227" s="4">
        <v>1.29858749599593E-3</v>
      </c>
      <c r="H2227" s="4">
        <v>1.29858749599593E-3</v>
      </c>
      <c r="I2227" s="4">
        <v>1.29858749599593E-3</v>
      </c>
      <c r="J2227" s="4">
        <v>1.29858749599593E-3</v>
      </c>
      <c r="K2227" s="4">
        <v>1.29858749599593E-3</v>
      </c>
      <c r="L2227" s="4">
        <v>1.29858749599593E-3</v>
      </c>
      <c r="M2227" s="4">
        <v>1.29858749599593E-3</v>
      </c>
      <c r="N2227" t="s">
        <v>242</v>
      </c>
      <c r="O2227" t="s">
        <v>376</v>
      </c>
      <c r="P2227" t="s">
        <v>377</v>
      </c>
      <c r="Q2227" t="s">
        <v>245</v>
      </c>
    </row>
    <row r="2228" spans="1:18" x14ac:dyDescent="0.25">
      <c r="A2228" t="s">
        <v>377</v>
      </c>
      <c r="B2228" t="s">
        <v>143</v>
      </c>
      <c r="C2228" s="4">
        <v>1.3363832460910759E-3</v>
      </c>
      <c r="D2228" s="4">
        <v>1.3363832460910759E-3</v>
      </c>
      <c r="E2228" s="4">
        <v>1.3363832460910759E-3</v>
      </c>
      <c r="F2228" s="4">
        <v>1.3363832460910759E-3</v>
      </c>
      <c r="G2228" s="4">
        <v>1.3363832460910759E-3</v>
      </c>
      <c r="H2228" s="4">
        <v>1.3363832460910759E-3</v>
      </c>
      <c r="I2228" s="4">
        <v>1.3363832460910759E-3</v>
      </c>
      <c r="J2228" s="4">
        <v>1.3363832460910759E-3</v>
      </c>
      <c r="K2228" s="4">
        <v>1.3363832460910759E-3</v>
      </c>
      <c r="L2228" s="4">
        <v>1.3363832460910759E-3</v>
      </c>
      <c r="M2228" s="4">
        <v>1.3363832460910759E-3</v>
      </c>
      <c r="N2228" t="s">
        <v>242</v>
      </c>
      <c r="O2228" t="s">
        <v>376</v>
      </c>
      <c r="P2228" t="s">
        <v>377</v>
      </c>
      <c r="Q2228" t="s">
        <v>245</v>
      </c>
    </row>
    <row r="2229" spans="1:18" x14ac:dyDescent="0.25">
      <c r="A2229" t="s">
        <v>700</v>
      </c>
      <c r="B2229" t="s">
        <v>86</v>
      </c>
      <c r="C2229" s="4">
        <f t="shared" ref="C2229:M2229" si="1130">0.67/0.85</f>
        <v>0.78823529411764715</v>
      </c>
      <c r="D2229" s="4">
        <f t="shared" si="1130"/>
        <v>0.78823529411764715</v>
      </c>
      <c r="E2229" s="4">
        <f t="shared" si="1130"/>
        <v>0.78823529411764715</v>
      </c>
      <c r="F2229" s="4">
        <f t="shared" si="1130"/>
        <v>0.78823529411764715</v>
      </c>
      <c r="G2229" s="4">
        <f t="shared" si="1130"/>
        <v>0.78823529411764715</v>
      </c>
      <c r="H2229" s="4">
        <f t="shared" si="1130"/>
        <v>0.78823529411764715</v>
      </c>
      <c r="I2229" s="4">
        <f t="shared" si="1130"/>
        <v>0.78823529411764715</v>
      </c>
      <c r="J2229" s="4">
        <f t="shared" si="1130"/>
        <v>0.78823529411764715</v>
      </c>
      <c r="K2229" s="4">
        <f t="shared" si="1130"/>
        <v>0.78823529411764715</v>
      </c>
      <c r="L2229" s="4">
        <f t="shared" si="1130"/>
        <v>0.78823529411764715</v>
      </c>
      <c r="M2229" s="4">
        <f t="shared" si="1130"/>
        <v>0.78823529411764715</v>
      </c>
      <c r="N2229" t="s">
        <v>256</v>
      </c>
      <c r="O2229" t="s">
        <v>701</v>
      </c>
      <c r="P2229" t="s">
        <v>700</v>
      </c>
      <c r="Q2229" t="s">
        <v>245</v>
      </c>
    </row>
    <row r="2230" spans="1:18" x14ac:dyDescent="0.25">
      <c r="A2230" t="s">
        <v>700</v>
      </c>
      <c r="B2230" t="s">
        <v>97</v>
      </c>
      <c r="C2230" s="4">
        <f t="shared" ref="C2230:M2230" si="1131">0.11/0.85</f>
        <v>0.12941176470588237</v>
      </c>
      <c r="D2230" s="4">
        <f t="shared" si="1131"/>
        <v>0.12941176470588237</v>
      </c>
      <c r="E2230" s="4">
        <f t="shared" si="1131"/>
        <v>0.12941176470588237</v>
      </c>
      <c r="F2230" s="4">
        <f t="shared" si="1131"/>
        <v>0.12941176470588237</v>
      </c>
      <c r="G2230" s="4">
        <f t="shared" si="1131"/>
        <v>0.12941176470588237</v>
      </c>
      <c r="H2230" s="4">
        <f t="shared" si="1131"/>
        <v>0.12941176470588237</v>
      </c>
      <c r="I2230" s="4">
        <f t="shared" si="1131"/>
        <v>0.12941176470588237</v>
      </c>
      <c r="J2230" s="4">
        <f t="shared" si="1131"/>
        <v>0.12941176470588237</v>
      </c>
      <c r="K2230" s="4">
        <f t="shared" si="1131"/>
        <v>0.12941176470588237</v>
      </c>
      <c r="L2230" s="4">
        <f t="shared" si="1131"/>
        <v>0.12941176470588237</v>
      </c>
      <c r="M2230" s="4">
        <f t="shared" si="1131"/>
        <v>0.12941176470588237</v>
      </c>
      <c r="N2230" t="s">
        <v>256</v>
      </c>
      <c r="O2230" t="s">
        <v>701</v>
      </c>
      <c r="P2230" t="s">
        <v>700</v>
      </c>
      <c r="Q2230" t="s">
        <v>245</v>
      </c>
    </row>
    <row r="2231" spans="1:18" x14ac:dyDescent="0.25">
      <c r="A2231" t="s">
        <v>700</v>
      </c>
      <c r="B2231" t="s">
        <v>122</v>
      </c>
      <c r="C2231" s="4">
        <f t="shared" ref="C2231:M2231" si="1132">0.03/0.85</f>
        <v>3.5294117647058823E-2</v>
      </c>
      <c r="D2231" s="4">
        <f t="shared" si="1132"/>
        <v>3.5294117647058823E-2</v>
      </c>
      <c r="E2231" s="4">
        <f t="shared" si="1132"/>
        <v>3.5294117647058823E-2</v>
      </c>
      <c r="F2231" s="4">
        <f t="shared" si="1132"/>
        <v>3.5294117647058823E-2</v>
      </c>
      <c r="G2231" s="4">
        <f t="shared" si="1132"/>
        <v>3.5294117647058823E-2</v>
      </c>
      <c r="H2231" s="4">
        <f t="shared" si="1132"/>
        <v>3.5294117647058823E-2</v>
      </c>
      <c r="I2231" s="4">
        <f t="shared" si="1132"/>
        <v>3.5294117647058823E-2</v>
      </c>
      <c r="J2231" s="4">
        <f t="shared" si="1132"/>
        <v>3.5294117647058823E-2</v>
      </c>
      <c r="K2231" s="4">
        <f t="shared" si="1132"/>
        <v>3.5294117647058823E-2</v>
      </c>
      <c r="L2231" s="4">
        <f t="shared" si="1132"/>
        <v>3.5294117647058823E-2</v>
      </c>
      <c r="M2231" s="4">
        <f t="shared" si="1132"/>
        <v>3.5294117647058823E-2</v>
      </c>
      <c r="N2231" t="s">
        <v>333</v>
      </c>
      <c r="O2231" t="s">
        <v>701</v>
      </c>
      <c r="P2231" t="s">
        <v>700</v>
      </c>
      <c r="Q2231" t="s">
        <v>245</v>
      </c>
    </row>
    <row r="2232" spans="1:18" x14ac:dyDescent="0.25">
      <c r="A2232" t="s">
        <v>700</v>
      </c>
      <c r="B2232" t="s">
        <v>132</v>
      </c>
      <c r="C2232" s="4">
        <f t="shared" ref="C2232:M2233" si="1133">0.02/0.85</f>
        <v>2.3529411764705882E-2</v>
      </c>
      <c r="D2232" s="4">
        <f t="shared" si="1133"/>
        <v>2.3529411764705882E-2</v>
      </c>
      <c r="E2232" s="4">
        <f t="shared" si="1133"/>
        <v>2.3529411764705882E-2</v>
      </c>
      <c r="F2232" s="4">
        <f t="shared" si="1133"/>
        <v>2.3529411764705882E-2</v>
      </c>
      <c r="G2232" s="4">
        <f t="shared" si="1133"/>
        <v>2.3529411764705882E-2</v>
      </c>
      <c r="H2232" s="4">
        <f t="shared" si="1133"/>
        <v>2.3529411764705882E-2</v>
      </c>
      <c r="I2232" s="4">
        <f t="shared" si="1133"/>
        <v>2.3529411764705882E-2</v>
      </c>
      <c r="J2232" s="4">
        <f t="shared" si="1133"/>
        <v>2.3529411764705882E-2</v>
      </c>
      <c r="K2232" s="4">
        <f t="shared" si="1133"/>
        <v>2.3529411764705882E-2</v>
      </c>
      <c r="L2232" s="4">
        <f t="shared" si="1133"/>
        <v>2.3529411764705882E-2</v>
      </c>
      <c r="M2232" s="4">
        <f t="shared" si="1133"/>
        <v>2.3529411764705882E-2</v>
      </c>
      <c r="N2232" t="s">
        <v>333</v>
      </c>
      <c r="O2232" t="s">
        <v>701</v>
      </c>
      <c r="P2232" t="s">
        <v>700</v>
      </c>
      <c r="Q2232" t="s">
        <v>245</v>
      </c>
    </row>
    <row r="2233" spans="1:18" x14ac:dyDescent="0.25">
      <c r="A2233" t="s">
        <v>700</v>
      </c>
      <c r="B2233" t="s">
        <v>103</v>
      </c>
      <c r="C2233" s="4">
        <f t="shared" si="1133"/>
        <v>2.3529411764705882E-2</v>
      </c>
      <c r="D2233" s="4">
        <f t="shared" si="1133"/>
        <v>2.3529411764705882E-2</v>
      </c>
      <c r="E2233" s="4">
        <f t="shared" si="1133"/>
        <v>2.3529411764705882E-2</v>
      </c>
      <c r="F2233" s="4">
        <f t="shared" si="1133"/>
        <v>2.3529411764705882E-2</v>
      </c>
      <c r="G2233" s="4">
        <f t="shared" si="1133"/>
        <v>2.3529411764705882E-2</v>
      </c>
      <c r="H2233" s="4">
        <f t="shared" si="1133"/>
        <v>2.3529411764705882E-2</v>
      </c>
      <c r="I2233" s="4">
        <f t="shared" si="1133"/>
        <v>2.3529411764705882E-2</v>
      </c>
      <c r="J2233" s="4">
        <f t="shared" si="1133"/>
        <v>2.3529411764705882E-2</v>
      </c>
      <c r="K2233" s="4">
        <f t="shared" si="1133"/>
        <v>2.3529411764705882E-2</v>
      </c>
      <c r="L2233" s="4">
        <f t="shared" si="1133"/>
        <v>2.3529411764705882E-2</v>
      </c>
      <c r="M2233" s="4">
        <f t="shared" si="1133"/>
        <v>2.3529411764705882E-2</v>
      </c>
      <c r="N2233" t="s">
        <v>256</v>
      </c>
      <c r="O2233" t="s">
        <v>701</v>
      </c>
      <c r="P2233" t="s">
        <v>700</v>
      </c>
      <c r="Q2233" t="s">
        <v>245</v>
      </c>
    </row>
    <row r="2234" spans="1:18" x14ac:dyDescent="0.25">
      <c r="A2234" t="s">
        <v>345</v>
      </c>
      <c r="B2234" t="s">
        <v>124</v>
      </c>
      <c r="C2234" s="4">
        <f t="shared" ref="C2234:M2234" si="1134" xml:space="preserve"> 0.821186132769772 * 0.137682888770584%</f>
        <v>1.1306327897808654E-3</v>
      </c>
      <c r="D2234" s="4">
        <f t="shared" si="1134"/>
        <v>1.1306327897808654E-3</v>
      </c>
      <c r="E2234" s="4">
        <f t="shared" si="1134"/>
        <v>1.1306327897808654E-3</v>
      </c>
      <c r="F2234" s="4">
        <f t="shared" si="1134"/>
        <v>1.1306327897808654E-3</v>
      </c>
      <c r="G2234" s="4">
        <f t="shared" si="1134"/>
        <v>1.1306327897808654E-3</v>
      </c>
      <c r="H2234" s="4">
        <f t="shared" si="1134"/>
        <v>1.1306327897808654E-3</v>
      </c>
      <c r="I2234" s="4">
        <f t="shared" si="1134"/>
        <v>1.1306327897808654E-3</v>
      </c>
      <c r="J2234" s="4">
        <f t="shared" si="1134"/>
        <v>1.1306327897808654E-3</v>
      </c>
      <c r="K2234" s="4">
        <f t="shared" si="1134"/>
        <v>1.1306327897808654E-3</v>
      </c>
      <c r="L2234" s="4">
        <f t="shared" si="1134"/>
        <v>1.1306327897808654E-3</v>
      </c>
      <c r="M2234" s="4">
        <f t="shared" si="1134"/>
        <v>1.1306327897808654E-3</v>
      </c>
      <c r="N2234" t="s">
        <v>256</v>
      </c>
      <c r="O2234" t="s">
        <v>306</v>
      </c>
      <c r="P2234" t="s">
        <v>345</v>
      </c>
      <c r="Q2234" s="4" t="s">
        <v>245</v>
      </c>
      <c r="R2234" t="s">
        <v>344</v>
      </c>
    </row>
    <row r="2235" spans="1:18" x14ac:dyDescent="0.25">
      <c r="A2235" t="s">
        <v>345</v>
      </c>
      <c r="B2235" t="s">
        <v>124</v>
      </c>
      <c r="C2235" s="4">
        <f t="shared" ref="C2235:M2235" si="1135" xml:space="preserve"> 0.178813867230228 * 0.137682888770584%</f>
        <v>2.4619609792497457E-4</v>
      </c>
      <c r="D2235" s="4">
        <f t="shared" si="1135"/>
        <v>2.4619609792497457E-4</v>
      </c>
      <c r="E2235" s="4">
        <f t="shared" si="1135"/>
        <v>2.4619609792497457E-4</v>
      </c>
      <c r="F2235" s="4">
        <f t="shared" si="1135"/>
        <v>2.4619609792497457E-4</v>
      </c>
      <c r="G2235" s="4">
        <f t="shared" si="1135"/>
        <v>2.4619609792497457E-4</v>
      </c>
      <c r="H2235" s="4">
        <f t="shared" si="1135"/>
        <v>2.4619609792497457E-4</v>
      </c>
      <c r="I2235" s="4">
        <f t="shared" si="1135"/>
        <v>2.4619609792497457E-4</v>
      </c>
      <c r="J2235" s="4">
        <f t="shared" si="1135"/>
        <v>2.4619609792497457E-4</v>
      </c>
      <c r="K2235" s="4">
        <f t="shared" si="1135"/>
        <v>2.4619609792497457E-4</v>
      </c>
      <c r="L2235" s="4">
        <f t="shared" si="1135"/>
        <v>2.4619609792497457E-4</v>
      </c>
      <c r="M2235" s="4">
        <f t="shared" si="1135"/>
        <v>2.4619609792497457E-4</v>
      </c>
      <c r="N2235" t="s">
        <v>242</v>
      </c>
      <c r="O2235" t="s">
        <v>316</v>
      </c>
      <c r="P2235" t="s">
        <v>345</v>
      </c>
      <c r="Q2235" s="4" t="s">
        <v>245</v>
      </c>
      <c r="R2235" t="s">
        <v>570</v>
      </c>
    </row>
    <row r="2236" spans="1:18" x14ac:dyDescent="0.25">
      <c r="A2236" t="s">
        <v>345</v>
      </c>
      <c r="B2236" t="s">
        <v>164</v>
      </c>
      <c r="C2236" s="4">
        <f t="shared" ref="C2236:M2236" si="1136" xml:space="preserve"> 0.821186132769772 * 2.9177213855862%</f>
        <v>2.3959923411291925E-2</v>
      </c>
      <c r="D2236" s="4">
        <f t="shared" si="1136"/>
        <v>2.3959923411291925E-2</v>
      </c>
      <c r="E2236" s="4">
        <f t="shared" si="1136"/>
        <v>2.3959923411291925E-2</v>
      </c>
      <c r="F2236" s="4">
        <f t="shared" si="1136"/>
        <v>2.3959923411291925E-2</v>
      </c>
      <c r="G2236" s="4">
        <f t="shared" si="1136"/>
        <v>2.3959923411291925E-2</v>
      </c>
      <c r="H2236" s="4">
        <f t="shared" si="1136"/>
        <v>2.3959923411291925E-2</v>
      </c>
      <c r="I2236" s="4">
        <f t="shared" si="1136"/>
        <v>2.3959923411291925E-2</v>
      </c>
      <c r="J2236" s="4">
        <f t="shared" si="1136"/>
        <v>2.3959923411291925E-2</v>
      </c>
      <c r="K2236" s="4">
        <f t="shared" si="1136"/>
        <v>2.3959923411291925E-2</v>
      </c>
      <c r="L2236" s="4">
        <f t="shared" si="1136"/>
        <v>2.3959923411291925E-2</v>
      </c>
      <c r="M2236" s="4">
        <f t="shared" si="1136"/>
        <v>2.3959923411291925E-2</v>
      </c>
      <c r="N2236" t="s">
        <v>256</v>
      </c>
      <c r="O2236" t="s">
        <v>306</v>
      </c>
      <c r="P2236" t="s">
        <v>345</v>
      </c>
      <c r="Q2236" s="4" t="s">
        <v>245</v>
      </c>
    </row>
    <row r="2237" spans="1:18" x14ac:dyDescent="0.25">
      <c r="A2237" t="s">
        <v>345</v>
      </c>
      <c r="B2237" t="s">
        <v>164</v>
      </c>
      <c r="C2237" s="4">
        <f t="shared" ref="C2237:M2237" si="1137" xml:space="preserve"> 0.178813867230228 * 2.9177213855862%</f>
        <v>5.2172904445700764E-3</v>
      </c>
      <c r="D2237" s="4">
        <f t="shared" si="1137"/>
        <v>5.2172904445700764E-3</v>
      </c>
      <c r="E2237" s="4">
        <f t="shared" si="1137"/>
        <v>5.2172904445700764E-3</v>
      </c>
      <c r="F2237" s="4">
        <f t="shared" si="1137"/>
        <v>5.2172904445700764E-3</v>
      </c>
      <c r="G2237" s="4">
        <f t="shared" si="1137"/>
        <v>5.2172904445700764E-3</v>
      </c>
      <c r="H2237" s="4">
        <f t="shared" si="1137"/>
        <v>5.2172904445700764E-3</v>
      </c>
      <c r="I2237" s="4">
        <f t="shared" si="1137"/>
        <v>5.2172904445700764E-3</v>
      </c>
      <c r="J2237" s="4">
        <f t="shared" si="1137"/>
        <v>5.2172904445700764E-3</v>
      </c>
      <c r="K2237" s="4">
        <f t="shared" si="1137"/>
        <v>5.2172904445700764E-3</v>
      </c>
      <c r="L2237" s="4">
        <f t="shared" si="1137"/>
        <v>5.2172904445700764E-3</v>
      </c>
      <c r="M2237" s="4">
        <f t="shared" si="1137"/>
        <v>5.2172904445700764E-3</v>
      </c>
      <c r="N2237" t="s">
        <v>242</v>
      </c>
      <c r="O2237" t="s">
        <v>316</v>
      </c>
      <c r="P2237" t="s">
        <v>345</v>
      </c>
      <c r="Q2237" s="4" t="s">
        <v>245</v>
      </c>
    </row>
    <row r="2238" spans="1:18" x14ac:dyDescent="0.25">
      <c r="A2238" t="s">
        <v>345</v>
      </c>
      <c r="B2238" t="s">
        <v>85</v>
      </c>
      <c r="C2238" s="4">
        <f t="shared" ref="C2238:M2238" si="1138" xml:space="preserve"> 0.821186132769772 * 0.0679915500101647%</f>
        <v>5.5833718013869704E-4</v>
      </c>
      <c r="D2238" s="4">
        <f t="shared" si="1138"/>
        <v>5.5833718013869704E-4</v>
      </c>
      <c r="E2238" s="4">
        <f t="shared" si="1138"/>
        <v>5.5833718013869704E-4</v>
      </c>
      <c r="F2238" s="4">
        <f t="shared" si="1138"/>
        <v>5.5833718013869704E-4</v>
      </c>
      <c r="G2238" s="4">
        <f t="shared" si="1138"/>
        <v>5.5833718013869704E-4</v>
      </c>
      <c r="H2238" s="4">
        <f t="shared" si="1138"/>
        <v>5.5833718013869704E-4</v>
      </c>
      <c r="I2238" s="4">
        <f t="shared" si="1138"/>
        <v>5.5833718013869704E-4</v>
      </c>
      <c r="J2238" s="4">
        <f t="shared" si="1138"/>
        <v>5.5833718013869704E-4</v>
      </c>
      <c r="K2238" s="4">
        <f t="shared" si="1138"/>
        <v>5.5833718013869704E-4</v>
      </c>
      <c r="L2238" s="4">
        <f t="shared" si="1138"/>
        <v>5.5833718013869704E-4</v>
      </c>
      <c r="M2238" s="4">
        <f t="shared" si="1138"/>
        <v>5.5833718013869704E-4</v>
      </c>
      <c r="N2238" t="s">
        <v>256</v>
      </c>
      <c r="O2238" t="s">
        <v>306</v>
      </c>
      <c r="P2238" t="s">
        <v>345</v>
      </c>
      <c r="Q2238" s="4" t="s">
        <v>245</v>
      </c>
    </row>
    <row r="2239" spans="1:18" x14ac:dyDescent="0.25">
      <c r="A2239" t="s">
        <v>345</v>
      </c>
      <c r="B2239" t="s">
        <v>85</v>
      </c>
      <c r="C2239" s="4">
        <f t="shared" ref="C2239:M2239" si="1139" xml:space="preserve"> 0.178813867230228 * 0.0679915500101647%</f>
        <v>1.2157831996294997E-4</v>
      </c>
      <c r="D2239" s="4">
        <f t="shared" si="1139"/>
        <v>1.2157831996294997E-4</v>
      </c>
      <c r="E2239" s="4">
        <f t="shared" si="1139"/>
        <v>1.2157831996294997E-4</v>
      </c>
      <c r="F2239" s="4">
        <f t="shared" si="1139"/>
        <v>1.2157831996294997E-4</v>
      </c>
      <c r="G2239" s="4">
        <f t="shared" si="1139"/>
        <v>1.2157831996294997E-4</v>
      </c>
      <c r="H2239" s="4">
        <f t="shared" si="1139"/>
        <v>1.2157831996294997E-4</v>
      </c>
      <c r="I2239" s="4">
        <f t="shared" si="1139"/>
        <v>1.2157831996294997E-4</v>
      </c>
      <c r="J2239" s="4">
        <f t="shared" si="1139"/>
        <v>1.2157831996294997E-4</v>
      </c>
      <c r="K2239" s="4">
        <f t="shared" si="1139"/>
        <v>1.2157831996294997E-4</v>
      </c>
      <c r="L2239" s="4">
        <f t="shared" si="1139"/>
        <v>1.2157831996294997E-4</v>
      </c>
      <c r="M2239" s="4">
        <f t="shared" si="1139"/>
        <v>1.2157831996294997E-4</v>
      </c>
      <c r="N2239" t="s">
        <v>242</v>
      </c>
      <c r="O2239" t="s">
        <v>316</v>
      </c>
      <c r="P2239" t="s">
        <v>345</v>
      </c>
      <c r="Q2239" s="4" t="s">
        <v>245</v>
      </c>
    </row>
    <row r="2240" spans="1:18" x14ac:dyDescent="0.25">
      <c r="A2240" t="s">
        <v>345</v>
      </c>
      <c r="B2240" t="s">
        <v>116</v>
      </c>
      <c r="C2240" s="4">
        <f t="shared" ref="C2240:M2240" si="1140" xml:space="preserve"> 0.821186132769772 * 1.26641061048933%</f>
        <v>1.039958831726339E-2</v>
      </c>
      <c r="D2240" s="4">
        <f t="shared" si="1140"/>
        <v>1.039958831726339E-2</v>
      </c>
      <c r="E2240" s="4">
        <f t="shared" si="1140"/>
        <v>1.039958831726339E-2</v>
      </c>
      <c r="F2240" s="4">
        <f t="shared" si="1140"/>
        <v>1.039958831726339E-2</v>
      </c>
      <c r="G2240" s="4">
        <f t="shared" si="1140"/>
        <v>1.039958831726339E-2</v>
      </c>
      <c r="H2240" s="4">
        <f t="shared" si="1140"/>
        <v>1.039958831726339E-2</v>
      </c>
      <c r="I2240" s="4">
        <f t="shared" si="1140"/>
        <v>1.039958831726339E-2</v>
      </c>
      <c r="J2240" s="4">
        <f t="shared" si="1140"/>
        <v>1.039958831726339E-2</v>
      </c>
      <c r="K2240" s="4">
        <f t="shared" si="1140"/>
        <v>1.039958831726339E-2</v>
      </c>
      <c r="L2240" s="4">
        <f t="shared" si="1140"/>
        <v>1.039958831726339E-2</v>
      </c>
      <c r="M2240" s="4">
        <f t="shared" si="1140"/>
        <v>1.039958831726339E-2</v>
      </c>
      <c r="N2240" t="s">
        <v>270</v>
      </c>
      <c r="O2240" t="s">
        <v>306</v>
      </c>
      <c r="P2240" t="s">
        <v>345</v>
      </c>
      <c r="Q2240" s="4" t="s">
        <v>245</v>
      </c>
    </row>
    <row r="2241" spans="1:17" x14ac:dyDescent="0.25">
      <c r="A2241" t="s">
        <v>345</v>
      </c>
      <c r="B2241" t="s">
        <v>116</v>
      </c>
      <c r="C2241" s="4">
        <f t="shared" ref="C2241:M2241" si="1141" xml:space="preserve"> 0.178813867230228 * 1.26641061048933%</f>
        <v>2.2645177876299103E-3</v>
      </c>
      <c r="D2241" s="4">
        <f t="shared" si="1141"/>
        <v>2.2645177876299103E-3</v>
      </c>
      <c r="E2241" s="4">
        <f t="shared" si="1141"/>
        <v>2.2645177876299103E-3</v>
      </c>
      <c r="F2241" s="4">
        <f t="shared" si="1141"/>
        <v>2.2645177876299103E-3</v>
      </c>
      <c r="G2241" s="4">
        <f t="shared" si="1141"/>
        <v>2.2645177876299103E-3</v>
      </c>
      <c r="H2241" s="4">
        <f t="shared" si="1141"/>
        <v>2.2645177876299103E-3</v>
      </c>
      <c r="I2241" s="4">
        <f t="shared" si="1141"/>
        <v>2.2645177876299103E-3</v>
      </c>
      <c r="J2241" s="4">
        <f t="shared" si="1141"/>
        <v>2.2645177876299103E-3</v>
      </c>
      <c r="K2241" s="4">
        <f t="shared" si="1141"/>
        <v>2.2645177876299103E-3</v>
      </c>
      <c r="L2241" s="4">
        <f t="shared" si="1141"/>
        <v>2.2645177876299103E-3</v>
      </c>
      <c r="M2241" s="4">
        <f t="shared" si="1141"/>
        <v>2.2645177876299103E-3</v>
      </c>
      <c r="N2241" t="s">
        <v>242</v>
      </c>
      <c r="O2241" t="s">
        <v>316</v>
      </c>
      <c r="P2241" t="s">
        <v>345</v>
      </c>
      <c r="Q2241" s="4" t="s">
        <v>245</v>
      </c>
    </row>
    <row r="2242" spans="1:17" x14ac:dyDescent="0.25">
      <c r="A2242" t="s">
        <v>345</v>
      </c>
      <c r="B2242" t="s">
        <v>145</v>
      </c>
      <c r="C2242" s="4">
        <f t="shared" ref="C2242:M2242" si="1142" xml:space="preserve"> 0.821186132769772 * 19.3752120486466%</f>
        <v>0.15910655453822392</v>
      </c>
      <c r="D2242" s="4">
        <f t="shared" si="1142"/>
        <v>0.15910655453822392</v>
      </c>
      <c r="E2242" s="4">
        <f t="shared" si="1142"/>
        <v>0.15910655453822392</v>
      </c>
      <c r="F2242" s="4">
        <f t="shared" si="1142"/>
        <v>0.15910655453822392</v>
      </c>
      <c r="G2242" s="4">
        <f t="shared" si="1142"/>
        <v>0.15910655453822392</v>
      </c>
      <c r="H2242" s="4">
        <f t="shared" si="1142"/>
        <v>0.15910655453822392</v>
      </c>
      <c r="I2242" s="4">
        <f t="shared" si="1142"/>
        <v>0.15910655453822392</v>
      </c>
      <c r="J2242" s="4">
        <f t="shared" si="1142"/>
        <v>0.15910655453822392</v>
      </c>
      <c r="K2242" s="4">
        <f t="shared" si="1142"/>
        <v>0.15910655453822392</v>
      </c>
      <c r="L2242" s="4">
        <f t="shared" si="1142"/>
        <v>0.15910655453822392</v>
      </c>
      <c r="M2242" s="4">
        <f t="shared" si="1142"/>
        <v>0.15910655453822392</v>
      </c>
      <c r="N2242" t="s">
        <v>311</v>
      </c>
      <c r="O2242" t="s">
        <v>306</v>
      </c>
      <c r="P2242" t="s">
        <v>345</v>
      </c>
      <c r="Q2242" s="4" t="s">
        <v>245</v>
      </c>
    </row>
    <row r="2243" spans="1:17" x14ac:dyDescent="0.25">
      <c r="A2243" t="s">
        <v>345</v>
      </c>
      <c r="B2243" t="s">
        <v>145</v>
      </c>
      <c r="C2243" s="4">
        <f t="shared" ref="C2243:M2243" si="1143" xml:space="preserve"> 0.178813867230228 * 19.3752120486466%</f>
        <v>3.4645565948242064E-2</v>
      </c>
      <c r="D2243" s="4">
        <f t="shared" si="1143"/>
        <v>3.4645565948242064E-2</v>
      </c>
      <c r="E2243" s="4">
        <f t="shared" si="1143"/>
        <v>3.4645565948242064E-2</v>
      </c>
      <c r="F2243" s="4">
        <f t="shared" si="1143"/>
        <v>3.4645565948242064E-2</v>
      </c>
      <c r="G2243" s="4">
        <f t="shared" si="1143"/>
        <v>3.4645565948242064E-2</v>
      </c>
      <c r="H2243" s="4">
        <f t="shared" si="1143"/>
        <v>3.4645565948242064E-2</v>
      </c>
      <c r="I2243" s="4">
        <f t="shared" si="1143"/>
        <v>3.4645565948242064E-2</v>
      </c>
      <c r="J2243" s="4">
        <f t="shared" si="1143"/>
        <v>3.4645565948242064E-2</v>
      </c>
      <c r="K2243" s="4">
        <f t="shared" si="1143"/>
        <v>3.4645565948242064E-2</v>
      </c>
      <c r="L2243" s="4">
        <f t="shared" si="1143"/>
        <v>3.4645565948242064E-2</v>
      </c>
      <c r="M2243" s="4">
        <f t="shared" si="1143"/>
        <v>3.4645565948242064E-2</v>
      </c>
      <c r="N2243" t="s">
        <v>242</v>
      </c>
      <c r="O2243" t="s">
        <v>316</v>
      </c>
      <c r="P2243" t="s">
        <v>345</v>
      </c>
      <c r="Q2243" s="4" t="s">
        <v>245</v>
      </c>
    </row>
    <row r="2244" spans="1:17" x14ac:dyDescent="0.25">
      <c r="A2244" t="s">
        <v>345</v>
      </c>
      <c r="B2244" t="s">
        <v>86</v>
      </c>
      <c r="C2244" s="4">
        <f t="shared" ref="C2244:M2244" si="1144" xml:space="preserve"> 0.821186132769772 * 39.7646540487948%</f>
        <v>0.3265418247925766</v>
      </c>
      <c r="D2244" s="4">
        <f t="shared" si="1144"/>
        <v>0.3265418247925766</v>
      </c>
      <c r="E2244" s="4">
        <f t="shared" si="1144"/>
        <v>0.3265418247925766</v>
      </c>
      <c r="F2244" s="4">
        <f t="shared" si="1144"/>
        <v>0.3265418247925766</v>
      </c>
      <c r="G2244" s="4">
        <f t="shared" si="1144"/>
        <v>0.3265418247925766</v>
      </c>
      <c r="H2244" s="4">
        <f t="shared" si="1144"/>
        <v>0.3265418247925766</v>
      </c>
      <c r="I2244" s="4">
        <f t="shared" si="1144"/>
        <v>0.3265418247925766</v>
      </c>
      <c r="J2244" s="4">
        <f t="shared" si="1144"/>
        <v>0.3265418247925766</v>
      </c>
      <c r="K2244" s="4">
        <f t="shared" si="1144"/>
        <v>0.3265418247925766</v>
      </c>
      <c r="L2244" s="4">
        <f t="shared" si="1144"/>
        <v>0.3265418247925766</v>
      </c>
      <c r="M2244" s="4">
        <f t="shared" si="1144"/>
        <v>0.3265418247925766</v>
      </c>
      <c r="N2244" t="s">
        <v>254</v>
      </c>
      <c r="O2244" t="s">
        <v>306</v>
      </c>
      <c r="P2244" t="s">
        <v>345</v>
      </c>
      <c r="Q2244" s="4" t="s">
        <v>245</v>
      </c>
    </row>
    <row r="2245" spans="1:17" x14ac:dyDescent="0.25">
      <c r="A2245" t="s">
        <v>345</v>
      </c>
      <c r="B2245" t="s">
        <v>86</v>
      </c>
      <c r="C2245" s="4">
        <f t="shared" ref="C2245:M2245" si="1145" xml:space="preserve"> 0.178813867230228 * 39.7646540487948%</f>
        <v>7.1104715695371412E-2</v>
      </c>
      <c r="D2245" s="4">
        <f t="shared" si="1145"/>
        <v>7.1104715695371412E-2</v>
      </c>
      <c r="E2245" s="4">
        <f t="shared" si="1145"/>
        <v>7.1104715695371412E-2</v>
      </c>
      <c r="F2245" s="4">
        <f t="shared" si="1145"/>
        <v>7.1104715695371412E-2</v>
      </c>
      <c r="G2245" s="4">
        <f t="shared" si="1145"/>
        <v>7.1104715695371412E-2</v>
      </c>
      <c r="H2245" s="4">
        <f t="shared" si="1145"/>
        <v>7.1104715695371412E-2</v>
      </c>
      <c r="I2245" s="4">
        <f t="shared" si="1145"/>
        <v>7.1104715695371412E-2</v>
      </c>
      <c r="J2245" s="4">
        <f t="shared" si="1145"/>
        <v>7.1104715695371412E-2</v>
      </c>
      <c r="K2245" s="4">
        <f t="shared" si="1145"/>
        <v>7.1104715695371412E-2</v>
      </c>
      <c r="L2245" s="4">
        <f t="shared" si="1145"/>
        <v>7.1104715695371412E-2</v>
      </c>
      <c r="M2245" s="4">
        <f t="shared" si="1145"/>
        <v>7.1104715695371412E-2</v>
      </c>
      <c r="N2245" t="s">
        <v>242</v>
      </c>
      <c r="O2245" t="s">
        <v>316</v>
      </c>
      <c r="P2245" t="s">
        <v>345</v>
      </c>
      <c r="Q2245" s="4" t="s">
        <v>245</v>
      </c>
    </row>
    <row r="2246" spans="1:17" x14ac:dyDescent="0.25">
      <c r="A2246" t="s">
        <v>345</v>
      </c>
      <c r="B2246" t="s">
        <v>99</v>
      </c>
      <c r="C2246" s="4">
        <f t="shared" ref="C2246:M2246" si="1146" xml:space="preserve"> 0.821186132769772 * 2.56341741848323%</f>
        <v>2.1050428365589163E-2</v>
      </c>
      <c r="D2246" s="4">
        <f t="shared" si="1146"/>
        <v>2.1050428365589163E-2</v>
      </c>
      <c r="E2246" s="4">
        <f t="shared" si="1146"/>
        <v>2.1050428365589163E-2</v>
      </c>
      <c r="F2246" s="4">
        <f t="shared" si="1146"/>
        <v>2.1050428365589163E-2</v>
      </c>
      <c r="G2246" s="4">
        <f t="shared" si="1146"/>
        <v>2.1050428365589163E-2</v>
      </c>
      <c r="H2246" s="4">
        <f t="shared" si="1146"/>
        <v>2.1050428365589163E-2</v>
      </c>
      <c r="I2246" s="4">
        <f t="shared" si="1146"/>
        <v>2.1050428365589163E-2</v>
      </c>
      <c r="J2246" s="4">
        <f t="shared" si="1146"/>
        <v>2.1050428365589163E-2</v>
      </c>
      <c r="K2246" s="4">
        <f t="shared" si="1146"/>
        <v>2.1050428365589163E-2</v>
      </c>
      <c r="L2246" s="4">
        <f t="shared" si="1146"/>
        <v>2.1050428365589163E-2</v>
      </c>
      <c r="M2246" s="4">
        <f t="shared" si="1146"/>
        <v>2.1050428365589163E-2</v>
      </c>
      <c r="N2246" t="s">
        <v>256</v>
      </c>
      <c r="O2246" t="s">
        <v>306</v>
      </c>
      <c r="P2246" t="s">
        <v>345</v>
      </c>
      <c r="Q2246" s="4" t="s">
        <v>245</v>
      </c>
    </row>
    <row r="2247" spans="1:17" x14ac:dyDescent="0.25">
      <c r="A2247" t="s">
        <v>345</v>
      </c>
      <c r="B2247" t="s">
        <v>99</v>
      </c>
      <c r="C2247" s="4">
        <f t="shared" ref="C2247:M2247" si="1147" xml:space="preserve"> 0.178813867230228 * 2.56341741848323%</f>
        <v>4.5837458192431414E-3</v>
      </c>
      <c r="D2247" s="4">
        <f t="shared" si="1147"/>
        <v>4.5837458192431414E-3</v>
      </c>
      <c r="E2247" s="4">
        <f t="shared" si="1147"/>
        <v>4.5837458192431414E-3</v>
      </c>
      <c r="F2247" s="4">
        <f t="shared" si="1147"/>
        <v>4.5837458192431414E-3</v>
      </c>
      <c r="G2247" s="4">
        <f t="shared" si="1147"/>
        <v>4.5837458192431414E-3</v>
      </c>
      <c r="H2247" s="4">
        <f t="shared" si="1147"/>
        <v>4.5837458192431414E-3</v>
      </c>
      <c r="I2247" s="4">
        <f t="shared" si="1147"/>
        <v>4.5837458192431414E-3</v>
      </c>
      <c r="J2247" s="4">
        <f t="shared" si="1147"/>
        <v>4.5837458192431414E-3</v>
      </c>
      <c r="K2247" s="4">
        <f t="shared" si="1147"/>
        <v>4.5837458192431414E-3</v>
      </c>
      <c r="L2247" s="4">
        <f t="shared" si="1147"/>
        <v>4.5837458192431414E-3</v>
      </c>
      <c r="M2247" s="4">
        <f t="shared" si="1147"/>
        <v>4.5837458192431414E-3</v>
      </c>
      <c r="N2247" t="s">
        <v>242</v>
      </c>
      <c r="O2247" t="s">
        <v>316</v>
      </c>
      <c r="P2247" t="s">
        <v>345</v>
      </c>
      <c r="Q2247" s="4" t="s">
        <v>245</v>
      </c>
    </row>
    <row r="2248" spans="1:17" x14ac:dyDescent="0.25">
      <c r="A2248" t="s">
        <v>345</v>
      </c>
      <c r="B2248" t="s">
        <v>102</v>
      </c>
      <c r="C2248" s="4">
        <f t="shared" ref="C2248:M2248" si="1148" xml:space="preserve"> 0.821186132769772 * 0.0817938346622282%</f>
        <v>6.7167962770685308E-4</v>
      </c>
      <c r="D2248" s="4">
        <f t="shared" si="1148"/>
        <v>6.7167962770685308E-4</v>
      </c>
      <c r="E2248" s="4">
        <f t="shared" si="1148"/>
        <v>6.7167962770685308E-4</v>
      </c>
      <c r="F2248" s="4">
        <f t="shared" si="1148"/>
        <v>6.7167962770685308E-4</v>
      </c>
      <c r="G2248" s="4">
        <f t="shared" si="1148"/>
        <v>6.7167962770685308E-4</v>
      </c>
      <c r="H2248" s="4">
        <f t="shared" si="1148"/>
        <v>6.7167962770685308E-4</v>
      </c>
      <c r="I2248" s="4">
        <f t="shared" si="1148"/>
        <v>6.7167962770685308E-4</v>
      </c>
      <c r="J2248" s="4">
        <f t="shared" si="1148"/>
        <v>6.7167962770685308E-4</v>
      </c>
      <c r="K2248" s="4">
        <f t="shared" si="1148"/>
        <v>6.7167962770685308E-4</v>
      </c>
      <c r="L2248" s="4">
        <f t="shared" si="1148"/>
        <v>6.7167962770685308E-4</v>
      </c>
      <c r="M2248" s="4">
        <f t="shared" si="1148"/>
        <v>6.7167962770685308E-4</v>
      </c>
      <c r="N2248" t="s">
        <v>256</v>
      </c>
      <c r="O2248" t="s">
        <v>306</v>
      </c>
      <c r="P2248" t="s">
        <v>345</v>
      </c>
      <c r="Q2248" s="4" t="s">
        <v>245</v>
      </c>
    </row>
    <row r="2249" spans="1:17" x14ac:dyDescent="0.25">
      <c r="A2249" t="s">
        <v>345</v>
      </c>
      <c r="B2249" t="s">
        <v>102</v>
      </c>
      <c r="C2249" s="4">
        <f t="shared" ref="C2249:M2249" si="1149" xml:space="preserve"> 0.178813867230228 * 0.0817938346622282%</f>
        <v>1.4625871891542895E-4</v>
      </c>
      <c r="D2249" s="4">
        <f t="shared" si="1149"/>
        <v>1.4625871891542895E-4</v>
      </c>
      <c r="E2249" s="4">
        <f t="shared" si="1149"/>
        <v>1.4625871891542895E-4</v>
      </c>
      <c r="F2249" s="4">
        <f t="shared" si="1149"/>
        <v>1.4625871891542895E-4</v>
      </c>
      <c r="G2249" s="4">
        <f t="shared" si="1149"/>
        <v>1.4625871891542895E-4</v>
      </c>
      <c r="H2249" s="4">
        <f t="shared" si="1149"/>
        <v>1.4625871891542895E-4</v>
      </c>
      <c r="I2249" s="4">
        <f t="shared" si="1149"/>
        <v>1.4625871891542895E-4</v>
      </c>
      <c r="J2249" s="4">
        <f t="shared" si="1149"/>
        <v>1.4625871891542895E-4</v>
      </c>
      <c r="K2249" s="4">
        <f t="shared" si="1149"/>
        <v>1.4625871891542895E-4</v>
      </c>
      <c r="L2249" s="4">
        <f t="shared" si="1149"/>
        <v>1.4625871891542895E-4</v>
      </c>
      <c r="M2249" s="4">
        <f t="shared" si="1149"/>
        <v>1.4625871891542895E-4</v>
      </c>
      <c r="N2249" t="s">
        <v>242</v>
      </c>
      <c r="O2249" t="s">
        <v>316</v>
      </c>
      <c r="P2249" t="s">
        <v>345</v>
      </c>
      <c r="Q2249" s="4" t="s">
        <v>245</v>
      </c>
    </row>
    <row r="2250" spans="1:17" x14ac:dyDescent="0.25">
      <c r="A2250" t="s">
        <v>345</v>
      </c>
      <c r="B2250" t="s">
        <v>170</v>
      </c>
      <c r="C2250" s="4">
        <f t="shared" ref="C2250:M2250" si="1150" xml:space="preserve"> 0.821186132769772 * 0.00673116345100631%</f>
        <v>5.5275380833731042E-5</v>
      </c>
      <c r="D2250" s="4">
        <f t="shared" si="1150"/>
        <v>5.5275380833731042E-5</v>
      </c>
      <c r="E2250" s="4">
        <f t="shared" si="1150"/>
        <v>5.5275380833731042E-5</v>
      </c>
      <c r="F2250" s="4">
        <f t="shared" si="1150"/>
        <v>5.5275380833731042E-5</v>
      </c>
      <c r="G2250" s="4">
        <f t="shared" si="1150"/>
        <v>5.5275380833731042E-5</v>
      </c>
      <c r="H2250" s="4">
        <f t="shared" si="1150"/>
        <v>5.5275380833731042E-5</v>
      </c>
      <c r="I2250" s="4">
        <f t="shared" si="1150"/>
        <v>5.5275380833731042E-5</v>
      </c>
      <c r="J2250" s="4">
        <f t="shared" si="1150"/>
        <v>5.5275380833731042E-5</v>
      </c>
      <c r="K2250" s="4">
        <f t="shared" si="1150"/>
        <v>5.5275380833731042E-5</v>
      </c>
      <c r="L2250" s="4">
        <f t="shared" si="1150"/>
        <v>5.5275380833731042E-5</v>
      </c>
      <c r="M2250" s="4">
        <f t="shared" si="1150"/>
        <v>5.5275380833731042E-5</v>
      </c>
      <c r="N2250" t="s">
        <v>256</v>
      </c>
      <c r="O2250" t="s">
        <v>306</v>
      </c>
      <c r="P2250" t="s">
        <v>345</v>
      </c>
      <c r="Q2250" s="4" t="s">
        <v>245</v>
      </c>
    </row>
    <row r="2251" spans="1:17" x14ac:dyDescent="0.25">
      <c r="A2251" t="s">
        <v>345</v>
      </c>
      <c r="B2251" t="s">
        <v>170</v>
      </c>
      <c r="C2251" s="4">
        <f t="shared" ref="C2251:M2251" si="1151" xml:space="preserve"> 0.178813867230228 * 0.00673116345100631%</f>
        <v>1.2036253676332054E-5</v>
      </c>
      <c r="D2251" s="4">
        <f t="shared" si="1151"/>
        <v>1.2036253676332054E-5</v>
      </c>
      <c r="E2251" s="4">
        <f t="shared" si="1151"/>
        <v>1.2036253676332054E-5</v>
      </c>
      <c r="F2251" s="4">
        <f t="shared" si="1151"/>
        <v>1.2036253676332054E-5</v>
      </c>
      <c r="G2251" s="4">
        <f t="shared" si="1151"/>
        <v>1.2036253676332054E-5</v>
      </c>
      <c r="H2251" s="4">
        <f t="shared" si="1151"/>
        <v>1.2036253676332054E-5</v>
      </c>
      <c r="I2251" s="4">
        <f t="shared" si="1151"/>
        <v>1.2036253676332054E-5</v>
      </c>
      <c r="J2251" s="4">
        <f t="shared" si="1151"/>
        <v>1.2036253676332054E-5</v>
      </c>
      <c r="K2251" s="4">
        <f t="shared" si="1151"/>
        <v>1.2036253676332054E-5</v>
      </c>
      <c r="L2251" s="4">
        <f t="shared" si="1151"/>
        <v>1.2036253676332054E-5</v>
      </c>
      <c r="M2251" s="4">
        <f t="shared" si="1151"/>
        <v>1.2036253676332054E-5</v>
      </c>
      <c r="N2251" t="s">
        <v>242</v>
      </c>
      <c r="O2251" t="s">
        <v>316</v>
      </c>
      <c r="P2251" t="s">
        <v>345</v>
      </c>
      <c r="Q2251" s="4" t="s">
        <v>245</v>
      </c>
    </row>
    <row r="2252" spans="1:17" x14ac:dyDescent="0.25">
      <c r="A2252" t="s">
        <v>345</v>
      </c>
      <c r="B2252" t="s">
        <v>150</v>
      </c>
      <c r="C2252" s="4">
        <f t="shared" ref="C2252:M2252" si="1152" xml:space="preserve"> 0.821186132769772 * 6.31233550294369%</f>
        <v>5.1836023804076634E-2</v>
      </c>
      <c r="D2252" s="4">
        <f t="shared" si="1152"/>
        <v>5.1836023804076634E-2</v>
      </c>
      <c r="E2252" s="4">
        <f t="shared" si="1152"/>
        <v>5.1836023804076634E-2</v>
      </c>
      <c r="F2252" s="4">
        <f t="shared" si="1152"/>
        <v>5.1836023804076634E-2</v>
      </c>
      <c r="G2252" s="4">
        <f t="shared" si="1152"/>
        <v>5.1836023804076634E-2</v>
      </c>
      <c r="H2252" s="4">
        <f t="shared" si="1152"/>
        <v>5.1836023804076634E-2</v>
      </c>
      <c r="I2252" s="4">
        <f t="shared" si="1152"/>
        <v>5.1836023804076634E-2</v>
      </c>
      <c r="J2252" s="4">
        <f t="shared" si="1152"/>
        <v>5.1836023804076634E-2</v>
      </c>
      <c r="K2252" s="4">
        <f t="shared" si="1152"/>
        <v>5.1836023804076634E-2</v>
      </c>
      <c r="L2252" s="4">
        <f t="shared" si="1152"/>
        <v>5.1836023804076634E-2</v>
      </c>
      <c r="M2252" s="4">
        <f t="shared" si="1152"/>
        <v>5.1836023804076634E-2</v>
      </c>
      <c r="N2252" t="s">
        <v>256</v>
      </c>
      <c r="O2252" t="s">
        <v>306</v>
      </c>
      <c r="P2252" t="s">
        <v>345</v>
      </c>
      <c r="Q2252" s="4" t="s">
        <v>245</v>
      </c>
    </row>
    <row r="2253" spans="1:17" x14ac:dyDescent="0.25">
      <c r="A2253" t="s">
        <v>345</v>
      </c>
      <c r="B2253" t="s">
        <v>150</v>
      </c>
      <c r="C2253" s="4">
        <f t="shared" ref="C2253:M2253" si="1153" xml:space="preserve"> 0.178813867230228 * 6.31233550294369%</f>
        <v>1.1287331225360275E-2</v>
      </c>
      <c r="D2253" s="4">
        <f t="shared" si="1153"/>
        <v>1.1287331225360275E-2</v>
      </c>
      <c r="E2253" s="4">
        <f t="shared" si="1153"/>
        <v>1.1287331225360275E-2</v>
      </c>
      <c r="F2253" s="4">
        <f t="shared" si="1153"/>
        <v>1.1287331225360275E-2</v>
      </c>
      <c r="G2253" s="4">
        <f t="shared" si="1153"/>
        <v>1.1287331225360275E-2</v>
      </c>
      <c r="H2253" s="4">
        <f t="shared" si="1153"/>
        <v>1.1287331225360275E-2</v>
      </c>
      <c r="I2253" s="4">
        <f t="shared" si="1153"/>
        <v>1.1287331225360275E-2</v>
      </c>
      <c r="J2253" s="4">
        <f t="shared" si="1153"/>
        <v>1.1287331225360275E-2</v>
      </c>
      <c r="K2253" s="4">
        <f t="shared" si="1153"/>
        <v>1.1287331225360275E-2</v>
      </c>
      <c r="L2253" s="4">
        <f t="shared" si="1153"/>
        <v>1.1287331225360275E-2</v>
      </c>
      <c r="M2253" s="4">
        <f t="shared" si="1153"/>
        <v>1.1287331225360275E-2</v>
      </c>
      <c r="N2253" t="s">
        <v>242</v>
      </c>
      <c r="O2253" t="s">
        <v>316</v>
      </c>
      <c r="P2253" t="s">
        <v>345</v>
      </c>
      <c r="Q2253" s="4" t="s">
        <v>245</v>
      </c>
    </row>
    <row r="2254" spans="1:17" x14ac:dyDescent="0.25">
      <c r="A2254" t="s">
        <v>345</v>
      </c>
      <c r="B2254" t="s">
        <v>173</v>
      </c>
      <c r="C2254" s="4">
        <f t="shared" ref="C2254:M2254" si="1154" xml:space="preserve"> 0.821186132769772 * 0.927404742138647%</f>
        <v>7.6157191370918318E-3</v>
      </c>
      <c r="D2254" s="4">
        <f t="shared" si="1154"/>
        <v>7.6157191370918318E-3</v>
      </c>
      <c r="E2254" s="4">
        <f t="shared" si="1154"/>
        <v>7.6157191370918318E-3</v>
      </c>
      <c r="F2254" s="4">
        <f t="shared" si="1154"/>
        <v>7.6157191370918318E-3</v>
      </c>
      <c r="G2254" s="4">
        <f t="shared" si="1154"/>
        <v>7.6157191370918318E-3</v>
      </c>
      <c r="H2254" s="4">
        <f t="shared" si="1154"/>
        <v>7.6157191370918318E-3</v>
      </c>
      <c r="I2254" s="4">
        <f t="shared" si="1154"/>
        <v>7.6157191370918318E-3</v>
      </c>
      <c r="J2254" s="4">
        <f t="shared" si="1154"/>
        <v>7.6157191370918318E-3</v>
      </c>
      <c r="K2254" s="4">
        <f t="shared" si="1154"/>
        <v>7.6157191370918318E-3</v>
      </c>
      <c r="L2254" s="4">
        <f t="shared" si="1154"/>
        <v>7.6157191370918318E-3</v>
      </c>
      <c r="M2254" s="4">
        <f t="shared" si="1154"/>
        <v>7.6157191370918318E-3</v>
      </c>
      <c r="N2254" t="s">
        <v>256</v>
      </c>
      <c r="O2254" t="s">
        <v>306</v>
      </c>
      <c r="P2254" t="s">
        <v>345</v>
      </c>
      <c r="Q2254" s="4" t="s">
        <v>245</v>
      </c>
    </row>
    <row r="2255" spans="1:17" x14ac:dyDescent="0.25">
      <c r="A2255" t="s">
        <v>345</v>
      </c>
      <c r="B2255" t="s">
        <v>173</v>
      </c>
      <c r="C2255" s="4">
        <f t="shared" ref="C2255:M2255" si="1155" xml:space="preserve"> 0.178813867230228 * 0.927404742138647%</f>
        <v>1.6583282842946385E-3</v>
      </c>
      <c r="D2255" s="4">
        <f t="shared" si="1155"/>
        <v>1.6583282842946385E-3</v>
      </c>
      <c r="E2255" s="4">
        <f t="shared" si="1155"/>
        <v>1.6583282842946385E-3</v>
      </c>
      <c r="F2255" s="4">
        <f t="shared" si="1155"/>
        <v>1.6583282842946385E-3</v>
      </c>
      <c r="G2255" s="4">
        <f t="shared" si="1155"/>
        <v>1.6583282842946385E-3</v>
      </c>
      <c r="H2255" s="4">
        <f t="shared" si="1155"/>
        <v>1.6583282842946385E-3</v>
      </c>
      <c r="I2255" s="4">
        <f t="shared" si="1155"/>
        <v>1.6583282842946385E-3</v>
      </c>
      <c r="J2255" s="4">
        <f t="shared" si="1155"/>
        <v>1.6583282842946385E-3</v>
      </c>
      <c r="K2255" s="4">
        <f t="shared" si="1155"/>
        <v>1.6583282842946385E-3</v>
      </c>
      <c r="L2255" s="4">
        <f t="shared" si="1155"/>
        <v>1.6583282842946385E-3</v>
      </c>
      <c r="M2255" s="4">
        <f t="shared" si="1155"/>
        <v>1.6583282842946385E-3</v>
      </c>
      <c r="N2255" t="s">
        <v>242</v>
      </c>
      <c r="O2255" t="s">
        <v>316</v>
      </c>
      <c r="P2255" t="s">
        <v>345</v>
      </c>
      <c r="Q2255" s="4" t="s">
        <v>245</v>
      </c>
    </row>
    <row r="2256" spans="1:17" x14ac:dyDescent="0.25">
      <c r="A2256" t="s">
        <v>345</v>
      </c>
      <c r="B2256" t="s">
        <v>132</v>
      </c>
      <c r="C2256" s="4">
        <f t="shared" ref="C2256:M2256" si="1156" xml:space="preserve"> 0.821186132769772 * 0.000679915500101647%</f>
        <v>5.5833718013869698E-6</v>
      </c>
      <c r="D2256" s="4">
        <f t="shared" si="1156"/>
        <v>5.5833718013869698E-6</v>
      </c>
      <c r="E2256" s="4">
        <f t="shared" si="1156"/>
        <v>5.5833718013869698E-6</v>
      </c>
      <c r="F2256" s="4">
        <f t="shared" si="1156"/>
        <v>5.5833718013869698E-6</v>
      </c>
      <c r="G2256" s="4">
        <f t="shared" si="1156"/>
        <v>5.5833718013869698E-6</v>
      </c>
      <c r="H2256" s="4">
        <f t="shared" si="1156"/>
        <v>5.5833718013869698E-6</v>
      </c>
      <c r="I2256" s="4">
        <f t="shared" si="1156"/>
        <v>5.5833718013869698E-6</v>
      </c>
      <c r="J2256" s="4">
        <f t="shared" si="1156"/>
        <v>5.5833718013869698E-6</v>
      </c>
      <c r="K2256" s="4">
        <f t="shared" si="1156"/>
        <v>5.5833718013869698E-6</v>
      </c>
      <c r="L2256" s="4">
        <f t="shared" si="1156"/>
        <v>5.5833718013869698E-6</v>
      </c>
      <c r="M2256" s="4">
        <f t="shared" si="1156"/>
        <v>5.5833718013869698E-6</v>
      </c>
      <c r="N2256" t="s">
        <v>256</v>
      </c>
      <c r="O2256" t="s">
        <v>306</v>
      </c>
      <c r="P2256" t="s">
        <v>345</v>
      </c>
      <c r="Q2256" s="4" t="s">
        <v>245</v>
      </c>
    </row>
    <row r="2257" spans="1:18" x14ac:dyDescent="0.25">
      <c r="A2257" t="s">
        <v>345</v>
      </c>
      <c r="B2257" t="s">
        <v>132</v>
      </c>
      <c r="C2257" s="4">
        <f t="shared" ref="C2257:M2257" si="1157" xml:space="preserve"> 0.178813867230228 * 0.000679915500101647%</f>
        <v>1.2157831996294996E-6</v>
      </c>
      <c r="D2257" s="4">
        <f t="shared" si="1157"/>
        <v>1.2157831996294996E-6</v>
      </c>
      <c r="E2257" s="4">
        <f t="shared" si="1157"/>
        <v>1.2157831996294996E-6</v>
      </c>
      <c r="F2257" s="4">
        <f t="shared" si="1157"/>
        <v>1.2157831996294996E-6</v>
      </c>
      <c r="G2257" s="4">
        <f t="shared" si="1157"/>
        <v>1.2157831996294996E-6</v>
      </c>
      <c r="H2257" s="4">
        <f t="shared" si="1157"/>
        <v>1.2157831996294996E-6</v>
      </c>
      <c r="I2257" s="4">
        <f t="shared" si="1157"/>
        <v>1.2157831996294996E-6</v>
      </c>
      <c r="J2257" s="4">
        <f t="shared" si="1157"/>
        <v>1.2157831996294996E-6</v>
      </c>
      <c r="K2257" s="4">
        <f t="shared" si="1157"/>
        <v>1.2157831996294996E-6</v>
      </c>
      <c r="L2257" s="4">
        <f t="shared" si="1157"/>
        <v>1.2157831996294996E-6</v>
      </c>
      <c r="M2257" s="4">
        <f t="shared" si="1157"/>
        <v>1.2157831996294996E-6</v>
      </c>
      <c r="N2257" t="s">
        <v>242</v>
      </c>
      <c r="O2257" t="s">
        <v>316</v>
      </c>
      <c r="P2257" t="s">
        <v>345</v>
      </c>
      <c r="Q2257" s="4" t="s">
        <v>245</v>
      </c>
    </row>
    <row r="2258" spans="1:18" x14ac:dyDescent="0.25">
      <c r="A2258" t="s">
        <v>345</v>
      </c>
      <c r="B2258" t="s">
        <v>146</v>
      </c>
      <c r="C2258" s="4">
        <f t="shared" ref="C2258:M2258" si="1158" xml:space="preserve"> 0.821186132769772 * 10.3992395825047%</f>
        <v>8.5397113365033736E-2</v>
      </c>
      <c r="D2258" s="4">
        <f t="shared" si="1158"/>
        <v>8.5397113365033736E-2</v>
      </c>
      <c r="E2258" s="4">
        <f t="shared" si="1158"/>
        <v>8.5397113365033736E-2</v>
      </c>
      <c r="F2258" s="4">
        <f t="shared" si="1158"/>
        <v>8.5397113365033736E-2</v>
      </c>
      <c r="G2258" s="4">
        <f t="shared" si="1158"/>
        <v>8.5397113365033736E-2</v>
      </c>
      <c r="H2258" s="4">
        <f t="shared" si="1158"/>
        <v>8.5397113365033736E-2</v>
      </c>
      <c r="I2258" s="4">
        <f t="shared" si="1158"/>
        <v>8.5397113365033736E-2</v>
      </c>
      <c r="J2258" s="4">
        <f t="shared" si="1158"/>
        <v>8.5397113365033736E-2</v>
      </c>
      <c r="K2258" s="4">
        <f t="shared" si="1158"/>
        <v>8.5397113365033736E-2</v>
      </c>
      <c r="L2258" s="4">
        <f t="shared" si="1158"/>
        <v>8.5397113365033736E-2</v>
      </c>
      <c r="M2258" s="4">
        <f t="shared" si="1158"/>
        <v>8.5397113365033736E-2</v>
      </c>
      <c r="N2258" t="s">
        <v>256</v>
      </c>
      <c r="O2258" t="s">
        <v>306</v>
      </c>
      <c r="P2258" t="s">
        <v>345</v>
      </c>
      <c r="Q2258" s="4" t="s">
        <v>245</v>
      </c>
    </row>
    <row r="2259" spans="1:18" x14ac:dyDescent="0.25">
      <c r="A2259" t="s">
        <v>345</v>
      </c>
      <c r="B2259" t="s">
        <v>146</v>
      </c>
      <c r="C2259" s="4">
        <f t="shared" ref="C2259:M2259" si="1159" xml:space="preserve"> 0.178813867230228 * 10.3992395825047%</f>
        <v>1.8595282460013272E-2</v>
      </c>
      <c r="D2259" s="4">
        <f t="shared" si="1159"/>
        <v>1.8595282460013272E-2</v>
      </c>
      <c r="E2259" s="4">
        <f t="shared" si="1159"/>
        <v>1.8595282460013272E-2</v>
      </c>
      <c r="F2259" s="4">
        <f t="shared" si="1159"/>
        <v>1.8595282460013272E-2</v>
      </c>
      <c r="G2259" s="4">
        <f t="shared" si="1159"/>
        <v>1.8595282460013272E-2</v>
      </c>
      <c r="H2259" s="4">
        <f t="shared" si="1159"/>
        <v>1.8595282460013272E-2</v>
      </c>
      <c r="I2259" s="4">
        <f t="shared" si="1159"/>
        <v>1.8595282460013272E-2</v>
      </c>
      <c r="J2259" s="4">
        <f t="shared" si="1159"/>
        <v>1.8595282460013272E-2</v>
      </c>
      <c r="K2259" s="4">
        <f t="shared" si="1159"/>
        <v>1.8595282460013272E-2</v>
      </c>
      <c r="L2259" s="4">
        <f t="shared" si="1159"/>
        <v>1.8595282460013272E-2</v>
      </c>
      <c r="M2259" s="4">
        <f t="shared" si="1159"/>
        <v>1.8595282460013272E-2</v>
      </c>
      <c r="N2259" t="s">
        <v>242</v>
      </c>
      <c r="O2259" t="s">
        <v>316</v>
      </c>
      <c r="P2259" t="s">
        <v>345</v>
      </c>
      <c r="Q2259" s="4" t="s">
        <v>245</v>
      </c>
    </row>
    <row r="2260" spans="1:18" x14ac:dyDescent="0.25">
      <c r="A2260" t="s">
        <v>345</v>
      </c>
      <c r="B2260" t="s">
        <v>151</v>
      </c>
      <c r="C2260" s="4">
        <f t="shared" ref="C2260:M2260" si="1160" xml:space="preserve"> 0.821186132769772 * 0.413388624061802%</f>
        <v>3.3946900552432832E-3</v>
      </c>
      <c r="D2260" s="4">
        <f t="shared" si="1160"/>
        <v>3.3946900552432832E-3</v>
      </c>
      <c r="E2260" s="4">
        <f t="shared" si="1160"/>
        <v>3.3946900552432832E-3</v>
      </c>
      <c r="F2260" s="4">
        <f t="shared" si="1160"/>
        <v>3.3946900552432832E-3</v>
      </c>
      <c r="G2260" s="4">
        <f t="shared" si="1160"/>
        <v>3.3946900552432832E-3</v>
      </c>
      <c r="H2260" s="4">
        <f t="shared" si="1160"/>
        <v>3.3946900552432832E-3</v>
      </c>
      <c r="I2260" s="4">
        <f t="shared" si="1160"/>
        <v>3.3946900552432832E-3</v>
      </c>
      <c r="J2260" s="4">
        <f t="shared" si="1160"/>
        <v>3.3946900552432832E-3</v>
      </c>
      <c r="K2260" s="4">
        <f t="shared" si="1160"/>
        <v>3.3946900552432832E-3</v>
      </c>
      <c r="L2260" s="4">
        <f t="shared" si="1160"/>
        <v>3.3946900552432832E-3</v>
      </c>
      <c r="M2260" s="4">
        <f t="shared" si="1160"/>
        <v>3.3946900552432832E-3</v>
      </c>
      <c r="N2260" t="s">
        <v>256</v>
      </c>
      <c r="O2260" t="s">
        <v>306</v>
      </c>
      <c r="P2260" t="s">
        <v>345</v>
      </c>
      <c r="Q2260" s="4" t="s">
        <v>245</v>
      </c>
    </row>
    <row r="2261" spans="1:18" x14ac:dyDescent="0.25">
      <c r="A2261" t="s">
        <v>345</v>
      </c>
      <c r="B2261" t="s">
        <v>151</v>
      </c>
      <c r="C2261" s="4">
        <f t="shared" ref="C2261:M2261" si="1161" xml:space="preserve"> 0.178813867230228 * 0.413388624061802%</f>
        <v>7.3919618537473695E-4</v>
      </c>
      <c r="D2261" s="4">
        <f t="shared" si="1161"/>
        <v>7.3919618537473695E-4</v>
      </c>
      <c r="E2261" s="4">
        <f t="shared" si="1161"/>
        <v>7.3919618537473695E-4</v>
      </c>
      <c r="F2261" s="4">
        <f t="shared" si="1161"/>
        <v>7.3919618537473695E-4</v>
      </c>
      <c r="G2261" s="4">
        <f t="shared" si="1161"/>
        <v>7.3919618537473695E-4</v>
      </c>
      <c r="H2261" s="4">
        <f t="shared" si="1161"/>
        <v>7.3919618537473695E-4</v>
      </c>
      <c r="I2261" s="4">
        <f t="shared" si="1161"/>
        <v>7.3919618537473695E-4</v>
      </c>
      <c r="J2261" s="4">
        <f t="shared" si="1161"/>
        <v>7.3919618537473695E-4</v>
      </c>
      <c r="K2261" s="4">
        <f t="shared" si="1161"/>
        <v>7.3919618537473695E-4</v>
      </c>
      <c r="L2261" s="4">
        <f t="shared" si="1161"/>
        <v>7.3919618537473695E-4</v>
      </c>
      <c r="M2261" s="4">
        <f t="shared" si="1161"/>
        <v>7.3919618537473695E-4</v>
      </c>
      <c r="N2261" t="s">
        <v>242</v>
      </c>
      <c r="O2261" t="s">
        <v>316</v>
      </c>
      <c r="P2261" t="s">
        <v>345</v>
      </c>
      <c r="Q2261" s="4" t="s">
        <v>245</v>
      </c>
    </row>
    <row r="2262" spans="1:18" x14ac:dyDescent="0.25">
      <c r="A2262" t="s">
        <v>345</v>
      </c>
      <c r="B2262" t="s">
        <v>107</v>
      </c>
      <c r="C2262" s="4">
        <f t="shared" ref="C2262:M2262" si="1162" xml:space="preserve"> 0.821186132769772 * 0.760485486863693%</f>
        <v>6.2450013598513337E-3</v>
      </c>
      <c r="D2262" s="4">
        <f t="shared" si="1162"/>
        <v>6.2450013598513337E-3</v>
      </c>
      <c r="E2262" s="4">
        <f t="shared" si="1162"/>
        <v>6.2450013598513337E-3</v>
      </c>
      <c r="F2262" s="4">
        <f t="shared" si="1162"/>
        <v>6.2450013598513337E-3</v>
      </c>
      <c r="G2262" s="4">
        <f t="shared" si="1162"/>
        <v>6.2450013598513337E-3</v>
      </c>
      <c r="H2262" s="4">
        <f t="shared" si="1162"/>
        <v>6.2450013598513337E-3</v>
      </c>
      <c r="I2262" s="4">
        <f t="shared" si="1162"/>
        <v>6.2450013598513337E-3</v>
      </c>
      <c r="J2262" s="4">
        <f t="shared" si="1162"/>
        <v>6.2450013598513337E-3</v>
      </c>
      <c r="K2262" s="4">
        <f t="shared" si="1162"/>
        <v>6.2450013598513337E-3</v>
      </c>
      <c r="L2262" s="4">
        <f t="shared" si="1162"/>
        <v>6.2450013598513337E-3</v>
      </c>
      <c r="M2262" s="4">
        <f t="shared" si="1162"/>
        <v>6.2450013598513337E-3</v>
      </c>
      <c r="N2262" t="s">
        <v>312</v>
      </c>
      <c r="O2262" t="s">
        <v>306</v>
      </c>
      <c r="P2262" t="s">
        <v>345</v>
      </c>
      <c r="Q2262" s="4" t="s">
        <v>245</v>
      </c>
    </row>
    <row r="2263" spans="1:18" x14ac:dyDescent="0.25">
      <c r="A2263" t="s">
        <v>345</v>
      </c>
      <c r="B2263" t="s">
        <v>107</v>
      </c>
      <c r="C2263" s="4">
        <f t="shared" ref="C2263:M2263" si="1163" xml:space="preserve"> 0.178813867230228 * 0.760485486863693%</f>
        <v>1.3598535087855968E-3</v>
      </c>
      <c r="D2263" s="4">
        <f t="shared" si="1163"/>
        <v>1.3598535087855968E-3</v>
      </c>
      <c r="E2263" s="4">
        <f t="shared" si="1163"/>
        <v>1.3598535087855968E-3</v>
      </c>
      <c r="F2263" s="4">
        <f t="shared" si="1163"/>
        <v>1.3598535087855968E-3</v>
      </c>
      <c r="G2263" s="4">
        <f t="shared" si="1163"/>
        <v>1.3598535087855968E-3</v>
      </c>
      <c r="H2263" s="4">
        <f t="shared" si="1163"/>
        <v>1.3598535087855968E-3</v>
      </c>
      <c r="I2263" s="4">
        <f t="shared" si="1163"/>
        <v>1.3598535087855968E-3</v>
      </c>
      <c r="J2263" s="4">
        <f t="shared" si="1163"/>
        <v>1.3598535087855968E-3</v>
      </c>
      <c r="K2263" s="4">
        <f t="shared" si="1163"/>
        <v>1.3598535087855968E-3</v>
      </c>
      <c r="L2263" s="4">
        <f t="shared" si="1163"/>
        <v>1.3598535087855968E-3</v>
      </c>
      <c r="M2263" s="4">
        <f t="shared" si="1163"/>
        <v>1.3598535087855968E-3</v>
      </c>
      <c r="N2263" t="s">
        <v>242</v>
      </c>
      <c r="O2263" t="s">
        <v>316</v>
      </c>
      <c r="P2263" t="s">
        <v>345</v>
      </c>
      <c r="Q2263" s="4" t="s">
        <v>245</v>
      </c>
    </row>
    <row r="2264" spans="1:18" x14ac:dyDescent="0.25">
      <c r="A2264" t="s">
        <v>345</v>
      </c>
      <c r="B2264" t="s">
        <v>113</v>
      </c>
      <c r="C2264" s="4">
        <f t="shared" ref="C2264:M2264" si="1164" xml:space="preserve"> 0.821186132769772 * 14.8153587472149%</f>
        <v>0.12166167155222217</v>
      </c>
      <c r="D2264" s="4">
        <f t="shared" si="1164"/>
        <v>0.12166167155222217</v>
      </c>
      <c r="E2264" s="4">
        <f t="shared" si="1164"/>
        <v>0.12166167155222217</v>
      </c>
      <c r="F2264" s="4">
        <f t="shared" si="1164"/>
        <v>0.12166167155222217</v>
      </c>
      <c r="G2264" s="4">
        <f t="shared" si="1164"/>
        <v>0.12166167155222217</v>
      </c>
      <c r="H2264" s="4">
        <f t="shared" si="1164"/>
        <v>0.12166167155222217</v>
      </c>
      <c r="I2264" s="4">
        <f t="shared" si="1164"/>
        <v>0.12166167155222217</v>
      </c>
      <c r="J2264" s="4">
        <f t="shared" si="1164"/>
        <v>0.12166167155222217</v>
      </c>
      <c r="K2264" s="4">
        <f t="shared" si="1164"/>
        <v>0.12166167155222217</v>
      </c>
      <c r="L2264" s="4">
        <f t="shared" si="1164"/>
        <v>0.12166167155222217</v>
      </c>
      <c r="M2264" s="4">
        <f t="shared" si="1164"/>
        <v>0.12166167155222217</v>
      </c>
      <c r="N2264" t="s">
        <v>276</v>
      </c>
      <c r="O2264" t="s">
        <v>306</v>
      </c>
      <c r="P2264" t="s">
        <v>345</v>
      </c>
      <c r="Q2264" s="4" t="s">
        <v>245</v>
      </c>
    </row>
    <row r="2265" spans="1:18" x14ac:dyDescent="0.25">
      <c r="A2265" t="s">
        <v>345</v>
      </c>
      <c r="B2265" t="s">
        <v>113</v>
      </c>
      <c r="C2265" s="4">
        <f t="shared" ref="C2265:M2265" si="1165" xml:space="preserve"> 0.178813867230228 * 14.8153587472149%</f>
        <v>2.649191591992682E-2</v>
      </c>
      <c r="D2265" s="4">
        <f t="shared" si="1165"/>
        <v>2.649191591992682E-2</v>
      </c>
      <c r="E2265" s="4">
        <f t="shared" si="1165"/>
        <v>2.649191591992682E-2</v>
      </c>
      <c r="F2265" s="4">
        <f t="shared" si="1165"/>
        <v>2.649191591992682E-2</v>
      </c>
      <c r="G2265" s="4">
        <f t="shared" si="1165"/>
        <v>2.649191591992682E-2</v>
      </c>
      <c r="H2265" s="4">
        <f t="shared" si="1165"/>
        <v>2.649191591992682E-2</v>
      </c>
      <c r="I2265" s="4">
        <f t="shared" si="1165"/>
        <v>2.649191591992682E-2</v>
      </c>
      <c r="J2265" s="4">
        <f t="shared" si="1165"/>
        <v>2.649191591992682E-2</v>
      </c>
      <c r="K2265" s="4">
        <f t="shared" si="1165"/>
        <v>2.649191591992682E-2</v>
      </c>
      <c r="L2265" s="4">
        <f t="shared" si="1165"/>
        <v>2.649191591992682E-2</v>
      </c>
      <c r="M2265" s="4">
        <f t="shared" si="1165"/>
        <v>2.649191591992682E-2</v>
      </c>
      <c r="N2265" t="s">
        <v>242</v>
      </c>
      <c r="O2265" t="s">
        <v>316</v>
      </c>
      <c r="P2265" t="s">
        <v>345</v>
      </c>
      <c r="Q2265" s="4" t="s">
        <v>245</v>
      </c>
    </row>
    <row r="2266" spans="1:18" x14ac:dyDescent="0.25">
      <c r="A2266" t="s">
        <v>345</v>
      </c>
      <c r="B2266" t="s">
        <v>180</v>
      </c>
      <c r="C2266" s="4">
        <f t="shared" ref="C2266:M2266" si="1166" xml:space="preserve"> 0.821186132769772 * 0.189492449878329%</f>
        <v>1.5560857210465484E-3</v>
      </c>
      <c r="D2266" s="4">
        <f t="shared" si="1166"/>
        <v>1.5560857210465484E-3</v>
      </c>
      <c r="E2266" s="4">
        <f t="shared" si="1166"/>
        <v>1.5560857210465484E-3</v>
      </c>
      <c r="F2266" s="4">
        <f t="shared" si="1166"/>
        <v>1.5560857210465484E-3</v>
      </c>
      <c r="G2266" s="4">
        <f t="shared" si="1166"/>
        <v>1.5560857210465484E-3</v>
      </c>
      <c r="H2266" s="4">
        <f t="shared" si="1166"/>
        <v>1.5560857210465484E-3</v>
      </c>
      <c r="I2266" s="4">
        <f t="shared" si="1166"/>
        <v>1.5560857210465484E-3</v>
      </c>
      <c r="J2266" s="4">
        <f t="shared" si="1166"/>
        <v>1.5560857210465484E-3</v>
      </c>
      <c r="K2266" s="4">
        <f t="shared" si="1166"/>
        <v>1.5560857210465484E-3</v>
      </c>
      <c r="L2266" s="4">
        <f t="shared" si="1166"/>
        <v>1.5560857210465484E-3</v>
      </c>
      <c r="M2266" s="4">
        <f t="shared" si="1166"/>
        <v>1.5560857210465484E-3</v>
      </c>
      <c r="N2266" t="s">
        <v>256</v>
      </c>
      <c r="O2266" t="s">
        <v>306</v>
      </c>
      <c r="P2266" t="s">
        <v>345</v>
      </c>
      <c r="Q2266" s="4" t="s">
        <v>245</v>
      </c>
    </row>
    <row r="2267" spans="1:18" x14ac:dyDescent="0.25">
      <c r="A2267" t="s">
        <v>345</v>
      </c>
      <c r="B2267" t="s">
        <v>180</v>
      </c>
      <c r="C2267" s="4">
        <f t="shared" ref="C2267:M2267" si="1167" xml:space="preserve"> 0.178813867230228 * 0.189492449878329%</f>
        <v>3.3883877773674154E-4</v>
      </c>
      <c r="D2267" s="4">
        <f t="shared" si="1167"/>
        <v>3.3883877773674154E-4</v>
      </c>
      <c r="E2267" s="4">
        <f t="shared" si="1167"/>
        <v>3.3883877773674154E-4</v>
      </c>
      <c r="F2267" s="4">
        <f t="shared" si="1167"/>
        <v>3.3883877773674154E-4</v>
      </c>
      <c r="G2267" s="4">
        <f t="shared" si="1167"/>
        <v>3.3883877773674154E-4</v>
      </c>
      <c r="H2267" s="4">
        <f t="shared" si="1167"/>
        <v>3.3883877773674154E-4</v>
      </c>
      <c r="I2267" s="4">
        <f t="shared" si="1167"/>
        <v>3.3883877773674154E-4</v>
      </c>
      <c r="J2267" s="4">
        <f t="shared" si="1167"/>
        <v>3.3883877773674154E-4</v>
      </c>
      <c r="K2267" s="4">
        <f t="shared" si="1167"/>
        <v>3.3883877773674154E-4</v>
      </c>
      <c r="L2267" s="4">
        <f t="shared" si="1167"/>
        <v>3.3883877773674154E-4</v>
      </c>
      <c r="M2267" s="4">
        <f t="shared" si="1167"/>
        <v>3.3883877773674154E-4</v>
      </c>
      <c r="N2267" t="s">
        <v>242</v>
      </c>
      <c r="O2267" t="s">
        <v>316</v>
      </c>
      <c r="P2267" t="s">
        <v>345</v>
      </c>
      <c r="Q2267" s="4" t="s">
        <v>245</v>
      </c>
    </row>
    <row r="2268" spans="1:18" x14ac:dyDescent="0.25">
      <c r="A2268" t="s">
        <v>349</v>
      </c>
      <c r="B2268" t="s">
        <v>124</v>
      </c>
      <c r="C2268" s="4">
        <v>1.3768288877058399E-3</v>
      </c>
      <c r="D2268" s="4">
        <v>1.3768288877058399E-3</v>
      </c>
      <c r="E2268" s="4">
        <v>1.3768288877058399E-3</v>
      </c>
      <c r="F2268" s="4">
        <v>1.3768288877058399E-3</v>
      </c>
      <c r="G2268" s="4">
        <v>1.3768288877058399E-3</v>
      </c>
      <c r="H2268" s="4">
        <v>1.3768288877058399E-3</v>
      </c>
      <c r="I2268" s="4">
        <v>1.3768288877058399E-3</v>
      </c>
      <c r="J2268" s="4">
        <v>1.3768288877058399E-3</v>
      </c>
      <c r="K2268" s="4">
        <v>1.3768288877058399E-3</v>
      </c>
      <c r="L2268" s="4">
        <v>1.3768288877058399E-3</v>
      </c>
      <c r="M2268" s="4">
        <v>1.3768288877058399E-3</v>
      </c>
      <c r="N2268" t="s">
        <v>256</v>
      </c>
      <c r="O2268" t="s">
        <v>348</v>
      </c>
      <c r="P2268" t="s">
        <v>349</v>
      </c>
      <c r="Q2268" s="4" t="s">
        <v>245</v>
      </c>
      <c r="R2268" t="s">
        <v>347</v>
      </c>
    </row>
    <row r="2269" spans="1:18" x14ac:dyDescent="0.25">
      <c r="A2269" t="s">
        <v>349</v>
      </c>
      <c r="B2269" t="s">
        <v>164</v>
      </c>
      <c r="C2269" s="4">
        <v>2.9177213855862E-2</v>
      </c>
      <c r="D2269" s="4">
        <v>2.9177213855862E-2</v>
      </c>
      <c r="E2269" s="4">
        <v>2.9177213855862E-2</v>
      </c>
      <c r="F2269" s="4">
        <v>2.9177213855862E-2</v>
      </c>
      <c r="G2269" s="4">
        <v>2.9177213855862E-2</v>
      </c>
      <c r="H2269" s="4">
        <v>2.9177213855862E-2</v>
      </c>
      <c r="I2269" s="4">
        <v>2.9177213855862E-2</v>
      </c>
      <c r="J2269" s="4">
        <v>2.9177213855862E-2</v>
      </c>
      <c r="K2269" s="4">
        <v>2.9177213855862E-2</v>
      </c>
      <c r="L2269" s="4">
        <v>2.9177213855862E-2</v>
      </c>
      <c r="M2269" s="4">
        <v>2.9177213855862E-2</v>
      </c>
      <c r="N2269" t="s">
        <v>256</v>
      </c>
      <c r="O2269" t="s">
        <v>348</v>
      </c>
      <c r="P2269" t="s">
        <v>349</v>
      </c>
      <c r="Q2269" s="4" t="s">
        <v>245</v>
      </c>
    </row>
    <row r="2270" spans="1:18" x14ac:dyDescent="0.25">
      <c r="A2270" t="s">
        <v>349</v>
      </c>
      <c r="B2270" t="s">
        <v>85</v>
      </c>
      <c r="C2270" s="4">
        <v>6.7991550010164695E-4</v>
      </c>
      <c r="D2270" s="4">
        <v>6.7991550010164695E-4</v>
      </c>
      <c r="E2270" s="4">
        <v>6.7991550010164695E-4</v>
      </c>
      <c r="F2270" s="4">
        <v>6.7991550010164695E-4</v>
      </c>
      <c r="G2270" s="4">
        <v>6.7991550010164695E-4</v>
      </c>
      <c r="H2270" s="4">
        <v>6.7991550010164695E-4</v>
      </c>
      <c r="I2270" s="4">
        <v>6.7991550010164695E-4</v>
      </c>
      <c r="J2270" s="4">
        <v>6.7991550010164695E-4</v>
      </c>
      <c r="K2270" s="4">
        <v>6.7991550010164695E-4</v>
      </c>
      <c r="L2270" s="4">
        <v>6.7991550010164695E-4</v>
      </c>
      <c r="M2270" s="4">
        <v>6.7991550010164695E-4</v>
      </c>
      <c r="N2270" t="s">
        <v>256</v>
      </c>
      <c r="O2270" t="s">
        <v>348</v>
      </c>
      <c r="P2270" t="s">
        <v>349</v>
      </c>
      <c r="Q2270" s="4" t="s">
        <v>245</v>
      </c>
    </row>
    <row r="2271" spans="1:18" x14ac:dyDescent="0.25">
      <c r="A2271" t="s">
        <v>349</v>
      </c>
      <c r="B2271" t="s">
        <v>116</v>
      </c>
      <c r="C2271" s="4">
        <v>1.26641061048933E-2</v>
      </c>
      <c r="D2271" s="4">
        <v>1.26641061048933E-2</v>
      </c>
      <c r="E2271" s="4">
        <v>1.26641061048933E-2</v>
      </c>
      <c r="F2271" s="4">
        <v>1.26641061048933E-2</v>
      </c>
      <c r="G2271" s="4">
        <v>1.26641061048933E-2</v>
      </c>
      <c r="H2271" s="4">
        <v>1.26641061048933E-2</v>
      </c>
      <c r="I2271" s="4">
        <v>1.26641061048933E-2</v>
      </c>
      <c r="J2271" s="4">
        <v>1.26641061048933E-2</v>
      </c>
      <c r="K2271" s="4">
        <v>1.26641061048933E-2</v>
      </c>
      <c r="L2271" s="4">
        <v>1.26641061048933E-2</v>
      </c>
      <c r="M2271" s="4">
        <v>1.26641061048933E-2</v>
      </c>
      <c r="N2271" t="s">
        <v>256</v>
      </c>
      <c r="O2271" t="s">
        <v>348</v>
      </c>
      <c r="P2271" t="s">
        <v>349</v>
      </c>
      <c r="Q2271" s="4" t="s">
        <v>245</v>
      </c>
    </row>
    <row r="2272" spans="1:18" x14ac:dyDescent="0.25">
      <c r="A2272" t="s">
        <v>349</v>
      </c>
      <c r="B2272" t="s">
        <v>145</v>
      </c>
      <c r="C2272" s="4">
        <v>0.19375212048646601</v>
      </c>
      <c r="D2272" s="4">
        <v>0.19375212048646601</v>
      </c>
      <c r="E2272" s="4">
        <v>0.19375212048646601</v>
      </c>
      <c r="F2272" s="4">
        <v>0.19375212048646601</v>
      </c>
      <c r="G2272" s="4">
        <v>0.19375212048646601</v>
      </c>
      <c r="H2272" s="4">
        <v>0.19375212048646601</v>
      </c>
      <c r="I2272" s="4">
        <v>0.19375212048646601</v>
      </c>
      <c r="J2272" s="4">
        <v>0.19375212048646601</v>
      </c>
      <c r="K2272" s="4">
        <v>0.19375212048646601</v>
      </c>
      <c r="L2272" s="4">
        <v>0.19375212048646601</v>
      </c>
      <c r="M2272" s="4">
        <v>0.19375212048646601</v>
      </c>
      <c r="N2272" t="s">
        <v>256</v>
      </c>
      <c r="O2272" t="s">
        <v>348</v>
      </c>
      <c r="P2272" t="s">
        <v>349</v>
      </c>
      <c r="Q2272" s="4" t="s">
        <v>245</v>
      </c>
    </row>
    <row r="2273" spans="1:18" x14ac:dyDescent="0.25">
      <c r="A2273" t="s">
        <v>349</v>
      </c>
      <c r="B2273" t="s">
        <v>86</v>
      </c>
      <c r="C2273" s="4">
        <v>0.39764654048794801</v>
      </c>
      <c r="D2273" s="4">
        <v>0.39764654048794801</v>
      </c>
      <c r="E2273" s="4">
        <v>0.39764654048794801</v>
      </c>
      <c r="F2273" s="4">
        <v>0.39764654048794801</v>
      </c>
      <c r="G2273" s="4">
        <v>0.39764654048794801</v>
      </c>
      <c r="H2273" s="4">
        <v>0.39764654048794801</v>
      </c>
      <c r="I2273" s="4">
        <v>0.39764654048794801</v>
      </c>
      <c r="J2273" s="4">
        <v>0.39764654048794801</v>
      </c>
      <c r="K2273" s="4">
        <v>0.39764654048794801</v>
      </c>
      <c r="L2273" s="4">
        <v>0.39764654048794801</v>
      </c>
      <c r="M2273" s="4">
        <v>0.39764654048794801</v>
      </c>
      <c r="N2273" t="s">
        <v>256</v>
      </c>
      <c r="O2273" t="s">
        <v>348</v>
      </c>
      <c r="P2273" t="s">
        <v>349</v>
      </c>
      <c r="Q2273" s="4" t="s">
        <v>245</v>
      </c>
    </row>
    <row r="2274" spans="1:18" x14ac:dyDescent="0.25">
      <c r="A2274" t="s">
        <v>349</v>
      </c>
      <c r="B2274" t="s">
        <v>99</v>
      </c>
      <c r="C2274" s="4">
        <v>2.5634174184832301E-2</v>
      </c>
      <c r="D2274" s="4">
        <v>2.5634174184832301E-2</v>
      </c>
      <c r="E2274" s="4">
        <v>2.5634174184832301E-2</v>
      </c>
      <c r="F2274" s="4">
        <v>2.5634174184832301E-2</v>
      </c>
      <c r="G2274" s="4">
        <v>2.5634174184832301E-2</v>
      </c>
      <c r="H2274" s="4">
        <v>2.5634174184832301E-2</v>
      </c>
      <c r="I2274" s="4">
        <v>2.5634174184832301E-2</v>
      </c>
      <c r="J2274" s="4">
        <v>2.5634174184832301E-2</v>
      </c>
      <c r="K2274" s="4">
        <v>2.5634174184832301E-2</v>
      </c>
      <c r="L2274" s="4">
        <v>2.5634174184832301E-2</v>
      </c>
      <c r="M2274" s="4">
        <v>2.5634174184832301E-2</v>
      </c>
      <c r="N2274" t="s">
        <v>256</v>
      </c>
      <c r="O2274" t="s">
        <v>348</v>
      </c>
      <c r="P2274" t="s">
        <v>349</v>
      </c>
      <c r="Q2274" s="4" t="s">
        <v>245</v>
      </c>
    </row>
    <row r="2275" spans="1:18" x14ac:dyDescent="0.25">
      <c r="A2275" t="s">
        <v>349</v>
      </c>
      <c r="B2275" t="s">
        <v>102</v>
      </c>
      <c r="C2275" s="4">
        <v>8.1793834662228203E-4</v>
      </c>
      <c r="D2275" s="4">
        <v>8.1793834662228203E-4</v>
      </c>
      <c r="E2275" s="4">
        <v>8.1793834662228203E-4</v>
      </c>
      <c r="F2275" s="4">
        <v>8.1793834662228203E-4</v>
      </c>
      <c r="G2275" s="4">
        <v>8.1793834662228203E-4</v>
      </c>
      <c r="H2275" s="4">
        <v>8.1793834662228203E-4</v>
      </c>
      <c r="I2275" s="4">
        <v>8.1793834662228203E-4</v>
      </c>
      <c r="J2275" s="4">
        <v>8.1793834662228203E-4</v>
      </c>
      <c r="K2275" s="4">
        <v>8.1793834662228203E-4</v>
      </c>
      <c r="L2275" s="4">
        <v>8.1793834662228203E-4</v>
      </c>
      <c r="M2275" s="4">
        <v>8.1793834662228203E-4</v>
      </c>
      <c r="N2275" t="s">
        <v>256</v>
      </c>
      <c r="O2275" t="s">
        <v>348</v>
      </c>
      <c r="P2275" t="s">
        <v>349</v>
      </c>
      <c r="Q2275" s="4" t="s">
        <v>245</v>
      </c>
    </row>
    <row r="2276" spans="1:18" x14ac:dyDescent="0.25">
      <c r="A2276" t="s">
        <v>349</v>
      </c>
      <c r="B2276" t="s">
        <v>170</v>
      </c>
      <c r="C2276" s="4">
        <v>6.7311634510063096E-5</v>
      </c>
      <c r="D2276" s="4">
        <v>6.7311634510063096E-5</v>
      </c>
      <c r="E2276" s="4">
        <v>6.7311634510063096E-5</v>
      </c>
      <c r="F2276" s="4">
        <v>6.7311634510063096E-5</v>
      </c>
      <c r="G2276" s="4">
        <v>6.7311634510063096E-5</v>
      </c>
      <c r="H2276" s="4">
        <v>6.7311634510063096E-5</v>
      </c>
      <c r="I2276" s="4">
        <v>6.7311634510063096E-5</v>
      </c>
      <c r="J2276" s="4">
        <v>6.7311634510063096E-5</v>
      </c>
      <c r="K2276" s="4">
        <v>6.7311634510063096E-5</v>
      </c>
      <c r="L2276" s="4">
        <v>6.7311634510063096E-5</v>
      </c>
      <c r="M2276" s="4">
        <v>6.7311634510063096E-5</v>
      </c>
      <c r="N2276" t="s">
        <v>256</v>
      </c>
      <c r="O2276" t="s">
        <v>348</v>
      </c>
      <c r="P2276" t="s">
        <v>349</v>
      </c>
      <c r="Q2276" s="4" t="s">
        <v>245</v>
      </c>
    </row>
    <row r="2277" spans="1:18" x14ac:dyDescent="0.25">
      <c r="A2277" t="s">
        <v>349</v>
      </c>
      <c r="B2277" t="s">
        <v>150</v>
      </c>
      <c r="C2277" s="4">
        <v>6.3123355029436903E-2</v>
      </c>
      <c r="D2277" s="4">
        <v>6.3123355029436903E-2</v>
      </c>
      <c r="E2277" s="4">
        <v>6.3123355029436903E-2</v>
      </c>
      <c r="F2277" s="4">
        <v>6.3123355029436903E-2</v>
      </c>
      <c r="G2277" s="4">
        <v>6.3123355029436903E-2</v>
      </c>
      <c r="H2277" s="4">
        <v>6.3123355029436903E-2</v>
      </c>
      <c r="I2277" s="4">
        <v>6.3123355029436903E-2</v>
      </c>
      <c r="J2277" s="4">
        <v>6.3123355029436903E-2</v>
      </c>
      <c r="K2277" s="4">
        <v>6.3123355029436903E-2</v>
      </c>
      <c r="L2277" s="4">
        <v>6.3123355029436903E-2</v>
      </c>
      <c r="M2277" s="4">
        <v>6.3123355029436903E-2</v>
      </c>
      <c r="N2277" t="s">
        <v>256</v>
      </c>
      <c r="O2277" t="s">
        <v>348</v>
      </c>
      <c r="P2277" t="s">
        <v>349</v>
      </c>
      <c r="Q2277" s="4" t="s">
        <v>245</v>
      </c>
    </row>
    <row r="2278" spans="1:18" x14ac:dyDescent="0.25">
      <c r="A2278" t="s">
        <v>349</v>
      </c>
      <c r="B2278" t="s">
        <v>173</v>
      </c>
      <c r="C2278" s="4">
        <v>9.2740474213864697E-3</v>
      </c>
      <c r="D2278" s="4">
        <v>9.2740474213864697E-3</v>
      </c>
      <c r="E2278" s="4">
        <v>9.2740474213864697E-3</v>
      </c>
      <c r="F2278" s="4">
        <v>9.2740474213864697E-3</v>
      </c>
      <c r="G2278" s="4">
        <v>9.2740474213864697E-3</v>
      </c>
      <c r="H2278" s="4">
        <v>9.2740474213864697E-3</v>
      </c>
      <c r="I2278" s="4">
        <v>9.2740474213864697E-3</v>
      </c>
      <c r="J2278" s="4">
        <v>9.2740474213864697E-3</v>
      </c>
      <c r="K2278" s="4">
        <v>9.2740474213864697E-3</v>
      </c>
      <c r="L2278" s="4">
        <v>9.2740474213864697E-3</v>
      </c>
      <c r="M2278" s="4">
        <v>9.2740474213864697E-3</v>
      </c>
      <c r="N2278" t="s">
        <v>256</v>
      </c>
      <c r="O2278" t="s">
        <v>348</v>
      </c>
      <c r="P2278" t="s">
        <v>349</v>
      </c>
      <c r="Q2278" s="4" t="s">
        <v>245</v>
      </c>
    </row>
    <row r="2279" spans="1:18" x14ac:dyDescent="0.25">
      <c r="A2279" t="s">
        <v>349</v>
      </c>
      <c r="B2279" t="s">
        <v>132</v>
      </c>
      <c r="C2279" s="4">
        <v>6.7991550010164703E-6</v>
      </c>
      <c r="D2279" s="4">
        <v>6.7991550010164703E-6</v>
      </c>
      <c r="E2279" s="4">
        <v>6.7991550010164703E-6</v>
      </c>
      <c r="F2279" s="4">
        <v>6.7991550010164703E-6</v>
      </c>
      <c r="G2279" s="4">
        <v>6.7991550010164703E-6</v>
      </c>
      <c r="H2279" s="4">
        <v>6.7991550010164703E-6</v>
      </c>
      <c r="I2279" s="4">
        <v>6.7991550010164703E-6</v>
      </c>
      <c r="J2279" s="4">
        <v>6.7991550010164703E-6</v>
      </c>
      <c r="K2279" s="4">
        <v>6.7991550010164703E-6</v>
      </c>
      <c r="L2279" s="4">
        <v>6.7991550010164703E-6</v>
      </c>
      <c r="M2279" s="4">
        <v>6.7991550010164703E-6</v>
      </c>
      <c r="N2279" t="s">
        <v>333</v>
      </c>
      <c r="O2279" t="s">
        <v>348</v>
      </c>
      <c r="P2279" t="s">
        <v>349</v>
      </c>
      <c r="Q2279" s="4" t="s">
        <v>245</v>
      </c>
    </row>
    <row r="2280" spans="1:18" x14ac:dyDescent="0.25">
      <c r="A2280" t="s">
        <v>349</v>
      </c>
      <c r="B2280" t="s">
        <v>146</v>
      </c>
      <c r="C2280" s="4">
        <v>0.103992395825047</v>
      </c>
      <c r="D2280" s="4">
        <v>0.103992395825047</v>
      </c>
      <c r="E2280" s="4">
        <v>0.103992395825047</v>
      </c>
      <c r="F2280" s="4">
        <v>0.103992395825047</v>
      </c>
      <c r="G2280" s="4">
        <v>0.103992395825047</v>
      </c>
      <c r="H2280" s="4">
        <v>0.103992395825047</v>
      </c>
      <c r="I2280" s="4">
        <v>0.103992395825047</v>
      </c>
      <c r="J2280" s="4">
        <v>0.103992395825047</v>
      </c>
      <c r="K2280" s="4">
        <v>0.103992395825047</v>
      </c>
      <c r="L2280" s="4">
        <v>0.103992395825047</v>
      </c>
      <c r="M2280" s="4">
        <v>0.103992395825047</v>
      </c>
      <c r="N2280" t="s">
        <v>256</v>
      </c>
      <c r="O2280" t="s">
        <v>348</v>
      </c>
      <c r="P2280" t="s">
        <v>349</v>
      </c>
      <c r="Q2280" s="4" t="s">
        <v>245</v>
      </c>
    </row>
    <row r="2281" spans="1:18" x14ac:dyDescent="0.25">
      <c r="A2281" t="s">
        <v>349</v>
      </c>
      <c r="B2281" t="s">
        <v>151</v>
      </c>
      <c r="C2281" s="4">
        <v>4.1338862406180201E-3</v>
      </c>
      <c r="D2281" s="4">
        <v>4.1338862406180201E-3</v>
      </c>
      <c r="E2281" s="4">
        <v>4.1338862406180201E-3</v>
      </c>
      <c r="F2281" s="4">
        <v>4.1338862406180201E-3</v>
      </c>
      <c r="G2281" s="4">
        <v>4.1338862406180201E-3</v>
      </c>
      <c r="H2281" s="4">
        <v>4.1338862406180201E-3</v>
      </c>
      <c r="I2281" s="4">
        <v>4.1338862406180201E-3</v>
      </c>
      <c r="J2281" s="4">
        <v>4.1338862406180201E-3</v>
      </c>
      <c r="K2281" s="4">
        <v>4.1338862406180201E-3</v>
      </c>
      <c r="L2281" s="4">
        <v>4.1338862406180201E-3</v>
      </c>
      <c r="M2281" s="4">
        <v>4.1338862406180201E-3</v>
      </c>
      <c r="N2281" t="s">
        <v>333</v>
      </c>
      <c r="O2281" t="s">
        <v>348</v>
      </c>
      <c r="P2281" t="s">
        <v>349</v>
      </c>
      <c r="Q2281" s="4" t="s">
        <v>245</v>
      </c>
    </row>
    <row r="2282" spans="1:18" x14ac:dyDescent="0.25">
      <c r="A2282" t="s">
        <v>349</v>
      </c>
      <c r="B2282" t="s">
        <v>107</v>
      </c>
      <c r="C2282" s="4">
        <v>7.60485486863693E-3</v>
      </c>
      <c r="D2282" s="4">
        <v>7.60485486863693E-3</v>
      </c>
      <c r="E2282" s="4">
        <v>7.60485486863693E-3</v>
      </c>
      <c r="F2282" s="4">
        <v>7.60485486863693E-3</v>
      </c>
      <c r="G2282" s="4">
        <v>7.60485486863693E-3</v>
      </c>
      <c r="H2282" s="4">
        <v>7.60485486863693E-3</v>
      </c>
      <c r="I2282" s="4">
        <v>7.60485486863693E-3</v>
      </c>
      <c r="J2282" s="4">
        <v>7.60485486863693E-3</v>
      </c>
      <c r="K2282" s="4">
        <v>7.60485486863693E-3</v>
      </c>
      <c r="L2282" s="4">
        <v>7.60485486863693E-3</v>
      </c>
      <c r="M2282" s="4">
        <v>7.60485486863693E-3</v>
      </c>
      <c r="N2282" t="s">
        <v>333</v>
      </c>
      <c r="O2282" t="s">
        <v>348</v>
      </c>
      <c r="P2282" t="s">
        <v>349</v>
      </c>
      <c r="Q2282" s="4" t="s">
        <v>245</v>
      </c>
    </row>
    <row r="2283" spans="1:18" x14ac:dyDescent="0.25">
      <c r="A2283" t="s">
        <v>349</v>
      </c>
      <c r="B2283" t="s">
        <v>113</v>
      </c>
      <c r="C2283" s="4">
        <v>0.14815358747214899</v>
      </c>
      <c r="D2283" s="4">
        <v>0.14815358747214899</v>
      </c>
      <c r="E2283" s="4">
        <v>0.14815358747214899</v>
      </c>
      <c r="F2283" s="4">
        <v>0.14815358747214899</v>
      </c>
      <c r="G2283" s="4">
        <v>0.14815358747214899</v>
      </c>
      <c r="H2283" s="4">
        <v>0.14815358747214899</v>
      </c>
      <c r="I2283" s="4">
        <v>0.14815358747214899</v>
      </c>
      <c r="J2283" s="4">
        <v>0.14815358747214899</v>
      </c>
      <c r="K2283" s="4">
        <v>0.14815358747214899</v>
      </c>
      <c r="L2283" s="4">
        <v>0.14815358747214899</v>
      </c>
      <c r="M2283" s="4">
        <v>0.14815358747214899</v>
      </c>
      <c r="N2283" t="s">
        <v>256</v>
      </c>
      <c r="O2283" t="s">
        <v>348</v>
      </c>
      <c r="P2283" t="s">
        <v>349</v>
      </c>
      <c r="Q2283" s="4" t="s">
        <v>245</v>
      </c>
    </row>
    <row r="2284" spans="1:18" x14ac:dyDescent="0.25">
      <c r="A2284" t="s">
        <v>349</v>
      </c>
      <c r="B2284" t="s">
        <v>180</v>
      </c>
      <c r="C2284" s="4">
        <v>1.8949244987832899E-3</v>
      </c>
      <c r="D2284" s="4">
        <v>1.8949244987832899E-3</v>
      </c>
      <c r="E2284" s="4">
        <v>1.8949244987832899E-3</v>
      </c>
      <c r="F2284" s="4">
        <v>1.8949244987832899E-3</v>
      </c>
      <c r="G2284" s="4">
        <v>1.8949244987832899E-3</v>
      </c>
      <c r="H2284" s="4">
        <v>1.8949244987832899E-3</v>
      </c>
      <c r="I2284" s="4">
        <v>1.8949244987832899E-3</v>
      </c>
      <c r="J2284" s="4">
        <v>1.8949244987832899E-3</v>
      </c>
      <c r="K2284" s="4">
        <v>1.8949244987832899E-3</v>
      </c>
      <c r="L2284" s="4">
        <v>1.8949244987832899E-3</v>
      </c>
      <c r="M2284" s="4">
        <v>1.8949244987832899E-3</v>
      </c>
      <c r="N2284" t="s">
        <v>256</v>
      </c>
      <c r="O2284" t="s">
        <v>348</v>
      </c>
      <c r="P2284" t="s">
        <v>349</v>
      </c>
      <c r="Q2284" s="4" t="s">
        <v>245</v>
      </c>
    </row>
    <row r="2285" spans="1:18" x14ac:dyDescent="0.25">
      <c r="A2285" t="s">
        <v>391</v>
      </c>
      <c r="B2285" t="s">
        <v>153</v>
      </c>
      <c r="C2285" s="4">
        <f t="shared" ref="C2285:M2285" si="1168">(0.965752550654969/(0.965752550654969+0.034247449345031)) * 0.162746135591046%/(1-C2293)</f>
        <v>1.6398893311426555E-3</v>
      </c>
      <c r="D2285" s="4">
        <f t="shared" si="1168"/>
        <v>1.6398893311426555E-3</v>
      </c>
      <c r="E2285" s="4">
        <f t="shared" si="1168"/>
        <v>1.6398893311426555E-3</v>
      </c>
      <c r="F2285" s="4">
        <f t="shared" si="1168"/>
        <v>1.6398893311426555E-3</v>
      </c>
      <c r="G2285" s="4">
        <f t="shared" si="1168"/>
        <v>1.6398893311426555E-3</v>
      </c>
      <c r="H2285" s="4">
        <f t="shared" si="1168"/>
        <v>1.6398893311426555E-3</v>
      </c>
      <c r="I2285" s="4">
        <f t="shared" si="1168"/>
        <v>1.6398893311426555E-3</v>
      </c>
      <c r="J2285" s="4">
        <f t="shared" si="1168"/>
        <v>1.6398893311426555E-3</v>
      </c>
      <c r="K2285" s="4">
        <f t="shared" si="1168"/>
        <v>1.6398893311426555E-3</v>
      </c>
      <c r="L2285" s="4">
        <f t="shared" si="1168"/>
        <v>1.6398893311426555E-3</v>
      </c>
      <c r="M2285" s="4">
        <f t="shared" si="1168"/>
        <v>1.6398893311426555E-3</v>
      </c>
      <c r="N2285" t="s">
        <v>288</v>
      </c>
      <c r="O2285" t="s">
        <v>390</v>
      </c>
      <c r="P2285" t="s">
        <v>391</v>
      </c>
      <c r="Q2285" s="4" t="s">
        <v>245</v>
      </c>
      <c r="R2285" t="s">
        <v>571</v>
      </c>
    </row>
    <row r="2286" spans="1:18" x14ac:dyDescent="0.25">
      <c r="A2286" t="s">
        <v>391</v>
      </c>
      <c r="B2286" t="s">
        <v>153</v>
      </c>
      <c r="C2286" s="4">
        <f t="shared" ref="C2286:M2286" si="1169">(0.034247449345031/(0.965752550654969+0.034247449345031)) * 0.162746135591046%/(1-C2293)</f>
        <v>5.8153640662585913E-5</v>
      </c>
      <c r="D2286" s="4">
        <f t="shared" si="1169"/>
        <v>5.8153640662585913E-5</v>
      </c>
      <c r="E2286" s="4">
        <f t="shared" si="1169"/>
        <v>5.8153640662585913E-5</v>
      </c>
      <c r="F2286" s="4">
        <f t="shared" si="1169"/>
        <v>5.8153640662585913E-5</v>
      </c>
      <c r="G2286" s="4">
        <f t="shared" si="1169"/>
        <v>5.8153640662585913E-5</v>
      </c>
      <c r="H2286" s="4">
        <f t="shared" si="1169"/>
        <v>5.8153640662585913E-5</v>
      </c>
      <c r="I2286" s="4">
        <f t="shared" si="1169"/>
        <v>5.8153640662585913E-5</v>
      </c>
      <c r="J2286" s="4">
        <f t="shared" si="1169"/>
        <v>5.8153640662585913E-5</v>
      </c>
      <c r="K2286" s="4">
        <f t="shared" si="1169"/>
        <v>5.8153640662585913E-5</v>
      </c>
      <c r="L2286" s="4">
        <f t="shared" si="1169"/>
        <v>5.8153640662585913E-5</v>
      </c>
      <c r="M2286" s="4">
        <f t="shared" si="1169"/>
        <v>5.8153640662585913E-5</v>
      </c>
      <c r="N2286" t="s">
        <v>242</v>
      </c>
      <c r="O2286" t="s">
        <v>289</v>
      </c>
      <c r="P2286" t="s">
        <v>391</v>
      </c>
      <c r="Q2286" s="4" t="s">
        <v>245</v>
      </c>
      <c r="R2286" t="s">
        <v>762</v>
      </c>
    </row>
    <row r="2287" spans="1:18" x14ac:dyDescent="0.25">
      <c r="A2287" t="s">
        <v>391</v>
      </c>
      <c r="B2287" t="s">
        <v>83</v>
      </c>
      <c r="C2287" s="4">
        <f t="shared" ref="C2287:M2287" si="1170">(0.965752550654969/(0.965752550654969+0.034247449345031)) * 6.61005548072606%/(1-C2293)</f>
        <v>6.6605326275409799E-2</v>
      </c>
      <c r="D2287" s="4">
        <f t="shared" si="1170"/>
        <v>6.6605326275409799E-2</v>
      </c>
      <c r="E2287" s="4">
        <f t="shared" si="1170"/>
        <v>6.6605326275409799E-2</v>
      </c>
      <c r="F2287" s="4">
        <f t="shared" si="1170"/>
        <v>6.6605326275409799E-2</v>
      </c>
      <c r="G2287" s="4">
        <f t="shared" si="1170"/>
        <v>6.6605326275409799E-2</v>
      </c>
      <c r="H2287" s="4">
        <f t="shared" si="1170"/>
        <v>6.6605326275409799E-2</v>
      </c>
      <c r="I2287" s="4">
        <f t="shared" si="1170"/>
        <v>6.6605326275409799E-2</v>
      </c>
      <c r="J2287" s="4">
        <f t="shared" si="1170"/>
        <v>6.6605326275409799E-2</v>
      </c>
      <c r="K2287" s="4">
        <f t="shared" si="1170"/>
        <v>6.6605326275409799E-2</v>
      </c>
      <c r="L2287" s="4">
        <f t="shared" si="1170"/>
        <v>6.6605326275409799E-2</v>
      </c>
      <c r="M2287" s="4">
        <f t="shared" si="1170"/>
        <v>6.6605326275409799E-2</v>
      </c>
      <c r="N2287" t="s">
        <v>288</v>
      </c>
      <c r="O2287" t="s">
        <v>390</v>
      </c>
      <c r="P2287" t="s">
        <v>391</v>
      </c>
      <c r="Q2287" s="4" t="s">
        <v>245</v>
      </c>
    </row>
    <row r="2288" spans="1:18" x14ac:dyDescent="0.25">
      <c r="A2288" t="s">
        <v>391</v>
      </c>
      <c r="B2288" t="s">
        <v>83</v>
      </c>
      <c r="C2288" s="4">
        <f t="shared" ref="C2288:M2288" si="1171">(0.034247449345031/(0.965752550654969+0.034247449345031)) * 6.61005548072606%/(1-C2293)</f>
        <v>2.3619534177562909E-3</v>
      </c>
      <c r="D2288" s="4">
        <f t="shared" si="1171"/>
        <v>2.3619534177562909E-3</v>
      </c>
      <c r="E2288" s="4">
        <f t="shared" si="1171"/>
        <v>2.3619534177562909E-3</v>
      </c>
      <c r="F2288" s="4">
        <f t="shared" si="1171"/>
        <v>2.3619534177562909E-3</v>
      </c>
      <c r="G2288" s="4">
        <f t="shared" si="1171"/>
        <v>2.3619534177562909E-3</v>
      </c>
      <c r="H2288" s="4">
        <f t="shared" si="1171"/>
        <v>2.3619534177562909E-3</v>
      </c>
      <c r="I2288" s="4">
        <f t="shared" si="1171"/>
        <v>2.3619534177562909E-3</v>
      </c>
      <c r="J2288" s="4">
        <f t="shared" si="1171"/>
        <v>2.3619534177562909E-3</v>
      </c>
      <c r="K2288" s="4">
        <f t="shared" si="1171"/>
        <v>2.3619534177562909E-3</v>
      </c>
      <c r="L2288" s="4">
        <f t="shared" si="1171"/>
        <v>2.3619534177562909E-3</v>
      </c>
      <c r="M2288" s="4">
        <f t="shared" si="1171"/>
        <v>2.3619534177562909E-3</v>
      </c>
      <c r="N2288" t="s">
        <v>242</v>
      </c>
      <c r="O2288" t="s">
        <v>289</v>
      </c>
      <c r="P2288" t="s">
        <v>391</v>
      </c>
      <c r="Q2288" s="4" t="s">
        <v>245</v>
      </c>
    </row>
    <row r="2289" spans="1:17" x14ac:dyDescent="0.25">
      <c r="A2289" t="s">
        <v>391</v>
      </c>
      <c r="B2289" t="s">
        <v>85</v>
      </c>
      <c r="C2289" s="4">
        <f t="shared" ref="C2289:M2289" si="1172">(0.965752550654969/(0.965752550654969+0.034247449345031)) * 2.8646334423706%/(1-C2293)</f>
        <v>2.8865089808230531E-2</v>
      </c>
      <c r="D2289" s="4">
        <f t="shared" si="1172"/>
        <v>2.8865089808230531E-2</v>
      </c>
      <c r="E2289" s="4">
        <f t="shared" si="1172"/>
        <v>2.8865089808230531E-2</v>
      </c>
      <c r="F2289" s="4">
        <f t="shared" si="1172"/>
        <v>2.8865089808230531E-2</v>
      </c>
      <c r="G2289" s="4">
        <f t="shared" si="1172"/>
        <v>2.8865089808230531E-2</v>
      </c>
      <c r="H2289" s="4">
        <f t="shared" si="1172"/>
        <v>2.8865089808230531E-2</v>
      </c>
      <c r="I2289" s="4">
        <f t="shared" si="1172"/>
        <v>2.8865089808230531E-2</v>
      </c>
      <c r="J2289" s="4">
        <f t="shared" si="1172"/>
        <v>2.8865089808230531E-2</v>
      </c>
      <c r="K2289" s="4">
        <f t="shared" si="1172"/>
        <v>2.8865089808230531E-2</v>
      </c>
      <c r="L2289" s="4">
        <f t="shared" si="1172"/>
        <v>2.8865089808230531E-2</v>
      </c>
      <c r="M2289" s="4">
        <f t="shared" si="1172"/>
        <v>2.8865089808230531E-2</v>
      </c>
      <c r="N2289" t="s">
        <v>288</v>
      </c>
      <c r="O2289" t="s">
        <v>390</v>
      </c>
      <c r="P2289" t="s">
        <v>391</v>
      </c>
      <c r="Q2289" s="4" t="s">
        <v>245</v>
      </c>
    </row>
    <row r="2290" spans="1:17" x14ac:dyDescent="0.25">
      <c r="A2290" t="s">
        <v>391</v>
      </c>
      <c r="B2290" t="s">
        <v>85</v>
      </c>
      <c r="C2290" s="4">
        <f t="shared" ref="C2290:M2290" si="1173">(0.034247449345031/(0.965752550654969+0.034247449345031)) * 2.8646334423706%/(1-C2293)</f>
        <v>1.0236117941150782E-3</v>
      </c>
      <c r="D2290" s="4">
        <f t="shared" si="1173"/>
        <v>1.0236117941150782E-3</v>
      </c>
      <c r="E2290" s="4">
        <f t="shared" si="1173"/>
        <v>1.0236117941150782E-3</v>
      </c>
      <c r="F2290" s="4">
        <f t="shared" si="1173"/>
        <v>1.0236117941150782E-3</v>
      </c>
      <c r="G2290" s="4">
        <f t="shared" si="1173"/>
        <v>1.0236117941150782E-3</v>
      </c>
      <c r="H2290" s="4">
        <f t="shared" si="1173"/>
        <v>1.0236117941150782E-3</v>
      </c>
      <c r="I2290" s="4">
        <f t="shared" si="1173"/>
        <v>1.0236117941150782E-3</v>
      </c>
      <c r="J2290" s="4">
        <f t="shared" si="1173"/>
        <v>1.0236117941150782E-3</v>
      </c>
      <c r="K2290" s="4">
        <f t="shared" si="1173"/>
        <v>1.0236117941150782E-3</v>
      </c>
      <c r="L2290" s="4">
        <f t="shared" si="1173"/>
        <v>1.0236117941150782E-3</v>
      </c>
      <c r="M2290" s="4">
        <f t="shared" si="1173"/>
        <v>1.0236117941150782E-3</v>
      </c>
      <c r="N2290" t="s">
        <v>242</v>
      </c>
      <c r="O2290" t="s">
        <v>289</v>
      </c>
      <c r="P2290" t="s">
        <v>391</v>
      </c>
      <c r="Q2290" s="4" t="s">
        <v>245</v>
      </c>
    </row>
    <row r="2291" spans="1:17" x14ac:dyDescent="0.25">
      <c r="A2291" t="s">
        <v>391</v>
      </c>
      <c r="B2291" t="s">
        <v>116</v>
      </c>
      <c r="C2291" s="4">
        <f t="shared" ref="C2291:M2291" si="1174">(0.965752550654969/(0.965752550654969+0.034247449345031)) * 7.07132319928164%/(1-C2293)</f>
        <v>7.1253227792165849E-2</v>
      </c>
      <c r="D2291" s="4">
        <f t="shared" si="1174"/>
        <v>7.1253227792165849E-2</v>
      </c>
      <c r="E2291" s="4">
        <f t="shared" si="1174"/>
        <v>7.1253227792165849E-2</v>
      </c>
      <c r="F2291" s="4">
        <f t="shared" si="1174"/>
        <v>7.1253227792165849E-2</v>
      </c>
      <c r="G2291" s="4">
        <f t="shared" si="1174"/>
        <v>7.1253227792165849E-2</v>
      </c>
      <c r="H2291" s="4">
        <f t="shared" si="1174"/>
        <v>7.1253227792165849E-2</v>
      </c>
      <c r="I2291" s="4">
        <f t="shared" si="1174"/>
        <v>7.1253227792165849E-2</v>
      </c>
      <c r="J2291" s="4">
        <f t="shared" si="1174"/>
        <v>7.1253227792165849E-2</v>
      </c>
      <c r="K2291" s="4">
        <f t="shared" si="1174"/>
        <v>7.1253227792165849E-2</v>
      </c>
      <c r="L2291" s="4">
        <f t="shared" si="1174"/>
        <v>7.1253227792165849E-2</v>
      </c>
      <c r="M2291" s="4">
        <f t="shared" si="1174"/>
        <v>7.1253227792165849E-2</v>
      </c>
      <c r="N2291" t="s">
        <v>288</v>
      </c>
      <c r="O2291" t="s">
        <v>390</v>
      </c>
      <c r="P2291" t="s">
        <v>391</v>
      </c>
      <c r="Q2291" s="4" t="s">
        <v>245</v>
      </c>
    </row>
    <row r="2292" spans="1:17" x14ac:dyDescent="0.25">
      <c r="A2292" t="s">
        <v>391</v>
      </c>
      <c r="B2292" t="s">
        <v>116</v>
      </c>
      <c r="C2292" s="4">
        <f t="shared" ref="C2292:M2292" si="1175">(0.034247449345031/(0.965752550654969+0.034247449345031)) * 7.07132319928164%/(1-C2293)</f>
        <v>2.5267769759729805E-3</v>
      </c>
      <c r="D2292" s="4">
        <f t="shared" si="1175"/>
        <v>2.5267769759729805E-3</v>
      </c>
      <c r="E2292" s="4">
        <f t="shared" si="1175"/>
        <v>2.5267769759729805E-3</v>
      </c>
      <c r="F2292" s="4">
        <f t="shared" si="1175"/>
        <v>2.5267769759729805E-3</v>
      </c>
      <c r="G2292" s="4">
        <f t="shared" si="1175"/>
        <v>2.5267769759729805E-3</v>
      </c>
      <c r="H2292" s="4">
        <f t="shared" si="1175"/>
        <v>2.5267769759729805E-3</v>
      </c>
      <c r="I2292" s="4">
        <f t="shared" si="1175"/>
        <v>2.5267769759729805E-3</v>
      </c>
      <c r="J2292" s="4">
        <f t="shared" si="1175"/>
        <v>2.5267769759729805E-3</v>
      </c>
      <c r="K2292" s="4">
        <f t="shared" si="1175"/>
        <v>2.5267769759729805E-3</v>
      </c>
      <c r="L2292" s="4">
        <f t="shared" si="1175"/>
        <v>2.5267769759729805E-3</v>
      </c>
      <c r="M2292" s="4">
        <f t="shared" si="1175"/>
        <v>2.5267769759729805E-3</v>
      </c>
      <c r="N2292" t="s">
        <v>242</v>
      </c>
      <c r="O2292" t="s">
        <v>289</v>
      </c>
      <c r="P2292" t="s">
        <v>391</v>
      </c>
      <c r="Q2292" s="4" t="s">
        <v>245</v>
      </c>
    </row>
    <row r="2293" spans="1:17" x14ac:dyDescent="0.25">
      <c r="A2293" t="s">
        <v>391</v>
      </c>
      <c r="B2293" t="s">
        <v>86</v>
      </c>
      <c r="C2293" s="4">
        <v>4.1566448592136492E-2</v>
      </c>
      <c r="D2293" s="4">
        <v>4.1566448592136492E-2</v>
      </c>
      <c r="E2293" s="4">
        <v>4.1566448592136492E-2</v>
      </c>
      <c r="F2293" s="4">
        <v>4.1566448592136492E-2</v>
      </c>
      <c r="G2293" s="4">
        <v>4.1566448592136492E-2</v>
      </c>
      <c r="H2293" s="4">
        <v>4.1566448592136492E-2</v>
      </c>
      <c r="I2293" s="4">
        <v>4.1566448592136492E-2</v>
      </c>
      <c r="J2293" s="4">
        <v>4.1566448592136492E-2</v>
      </c>
      <c r="K2293" s="4">
        <v>4.1566448592136492E-2</v>
      </c>
      <c r="L2293" s="4">
        <v>4.1566448592136492E-2</v>
      </c>
      <c r="M2293" s="4">
        <v>4.1566448592136492E-2</v>
      </c>
      <c r="N2293" t="s">
        <v>254</v>
      </c>
      <c r="O2293" t="s">
        <v>388</v>
      </c>
      <c r="P2293" t="s">
        <v>389</v>
      </c>
      <c r="Q2293" s="4" t="s">
        <v>650</v>
      </c>
    </row>
    <row r="2294" spans="1:17" x14ac:dyDescent="0.25">
      <c r="A2294" t="s">
        <v>391</v>
      </c>
      <c r="B2294" t="s">
        <v>87</v>
      </c>
      <c r="C2294" s="4">
        <f t="shared" ref="C2294:M2294" si="1176">(0.965752550654969/(0.965752550654969+0.034247449345031)) * 1.59247322173049%/(1-C2293)</f>
        <v>1.6046340129441953E-2</v>
      </c>
      <c r="D2294" s="4">
        <f t="shared" si="1176"/>
        <v>1.6046340129441953E-2</v>
      </c>
      <c r="E2294" s="4">
        <f t="shared" si="1176"/>
        <v>1.6046340129441953E-2</v>
      </c>
      <c r="F2294" s="4">
        <f t="shared" si="1176"/>
        <v>1.6046340129441953E-2</v>
      </c>
      <c r="G2294" s="4">
        <f t="shared" si="1176"/>
        <v>1.6046340129441953E-2</v>
      </c>
      <c r="H2294" s="4">
        <f t="shared" si="1176"/>
        <v>1.6046340129441953E-2</v>
      </c>
      <c r="I2294" s="4">
        <f t="shared" si="1176"/>
        <v>1.6046340129441953E-2</v>
      </c>
      <c r="J2294" s="4">
        <f t="shared" si="1176"/>
        <v>1.6046340129441953E-2</v>
      </c>
      <c r="K2294" s="4">
        <f t="shared" si="1176"/>
        <v>1.6046340129441953E-2</v>
      </c>
      <c r="L2294" s="4">
        <f t="shared" si="1176"/>
        <v>1.6046340129441953E-2</v>
      </c>
      <c r="M2294" s="4">
        <f t="shared" si="1176"/>
        <v>1.6046340129441953E-2</v>
      </c>
      <c r="N2294" t="s">
        <v>288</v>
      </c>
      <c r="O2294" t="s">
        <v>390</v>
      </c>
      <c r="P2294" t="s">
        <v>391</v>
      </c>
      <c r="Q2294" s="4" t="s">
        <v>245</v>
      </c>
    </row>
    <row r="2295" spans="1:17" x14ac:dyDescent="0.25">
      <c r="A2295" t="s">
        <v>391</v>
      </c>
      <c r="B2295" t="s">
        <v>87</v>
      </c>
      <c r="C2295" s="4">
        <f t="shared" ref="C2295:M2295" si="1177">(0.034247449345031/(0.965752550654969+0.034247449345031)) * 1.59247322173049%/(1-C2293)</f>
        <v>5.6903419036636433E-4</v>
      </c>
      <c r="D2295" s="4">
        <f t="shared" si="1177"/>
        <v>5.6903419036636433E-4</v>
      </c>
      <c r="E2295" s="4">
        <f t="shared" si="1177"/>
        <v>5.6903419036636433E-4</v>
      </c>
      <c r="F2295" s="4">
        <f t="shared" si="1177"/>
        <v>5.6903419036636433E-4</v>
      </c>
      <c r="G2295" s="4">
        <f t="shared" si="1177"/>
        <v>5.6903419036636433E-4</v>
      </c>
      <c r="H2295" s="4">
        <f t="shared" si="1177"/>
        <v>5.6903419036636433E-4</v>
      </c>
      <c r="I2295" s="4">
        <f t="shared" si="1177"/>
        <v>5.6903419036636433E-4</v>
      </c>
      <c r="J2295" s="4">
        <f t="shared" si="1177"/>
        <v>5.6903419036636433E-4</v>
      </c>
      <c r="K2295" s="4">
        <f t="shared" si="1177"/>
        <v>5.6903419036636433E-4</v>
      </c>
      <c r="L2295" s="4">
        <f t="shared" si="1177"/>
        <v>5.6903419036636433E-4</v>
      </c>
      <c r="M2295" s="4">
        <f t="shared" si="1177"/>
        <v>5.6903419036636433E-4</v>
      </c>
      <c r="N2295" t="s">
        <v>242</v>
      </c>
      <c r="O2295" t="s">
        <v>289</v>
      </c>
      <c r="P2295" t="s">
        <v>391</v>
      </c>
      <c r="Q2295" s="4" t="s">
        <v>245</v>
      </c>
    </row>
    <row r="2296" spans="1:17" x14ac:dyDescent="0.25">
      <c r="A2296" t="s">
        <v>391</v>
      </c>
      <c r="B2296" t="s">
        <v>160</v>
      </c>
      <c r="C2296" s="4">
        <f t="shared" ref="C2296:M2296" si="1178">(0.965752550654969/(0.965752550654969+0.034247449345031)) * 1.93861843371176%/(1-C2293)</f>
        <v>1.9534225344612789E-2</v>
      </c>
      <c r="D2296" s="4">
        <f t="shared" si="1178"/>
        <v>1.9534225344612789E-2</v>
      </c>
      <c r="E2296" s="4">
        <f t="shared" si="1178"/>
        <v>1.9534225344612789E-2</v>
      </c>
      <c r="F2296" s="4">
        <f t="shared" si="1178"/>
        <v>1.9534225344612789E-2</v>
      </c>
      <c r="G2296" s="4">
        <f t="shared" si="1178"/>
        <v>1.9534225344612789E-2</v>
      </c>
      <c r="H2296" s="4">
        <f t="shared" si="1178"/>
        <v>1.9534225344612789E-2</v>
      </c>
      <c r="I2296" s="4">
        <f t="shared" si="1178"/>
        <v>1.9534225344612789E-2</v>
      </c>
      <c r="J2296" s="4">
        <f t="shared" si="1178"/>
        <v>1.9534225344612789E-2</v>
      </c>
      <c r="K2296" s="4">
        <f t="shared" si="1178"/>
        <v>1.9534225344612789E-2</v>
      </c>
      <c r="L2296" s="4">
        <f t="shared" si="1178"/>
        <v>1.9534225344612789E-2</v>
      </c>
      <c r="M2296" s="4">
        <f t="shared" si="1178"/>
        <v>1.9534225344612789E-2</v>
      </c>
      <c r="N2296" t="s">
        <v>288</v>
      </c>
      <c r="O2296" t="s">
        <v>390</v>
      </c>
      <c r="P2296" t="s">
        <v>391</v>
      </c>
      <c r="Q2296" s="4" t="s">
        <v>245</v>
      </c>
    </row>
    <row r="2297" spans="1:17" x14ac:dyDescent="0.25">
      <c r="A2297" t="s">
        <v>391</v>
      </c>
      <c r="B2297" t="s">
        <v>160</v>
      </c>
      <c r="C2297" s="4">
        <f t="shared" ref="C2297:M2297" si="1179">(0.034247449345031/(0.965752550654969+0.034247449345031)) * 1.93861843371176%/(1-C2293)</f>
        <v>6.9272133170172456E-4</v>
      </c>
      <c r="D2297" s="4">
        <f t="shared" si="1179"/>
        <v>6.9272133170172456E-4</v>
      </c>
      <c r="E2297" s="4">
        <f t="shared" si="1179"/>
        <v>6.9272133170172456E-4</v>
      </c>
      <c r="F2297" s="4">
        <f t="shared" si="1179"/>
        <v>6.9272133170172456E-4</v>
      </c>
      <c r="G2297" s="4">
        <f t="shared" si="1179"/>
        <v>6.9272133170172456E-4</v>
      </c>
      <c r="H2297" s="4">
        <f t="shared" si="1179"/>
        <v>6.9272133170172456E-4</v>
      </c>
      <c r="I2297" s="4">
        <f t="shared" si="1179"/>
        <v>6.9272133170172456E-4</v>
      </c>
      <c r="J2297" s="4">
        <f t="shared" si="1179"/>
        <v>6.9272133170172456E-4</v>
      </c>
      <c r="K2297" s="4">
        <f t="shared" si="1179"/>
        <v>6.9272133170172456E-4</v>
      </c>
      <c r="L2297" s="4">
        <f t="shared" si="1179"/>
        <v>6.9272133170172456E-4</v>
      </c>
      <c r="M2297" s="4">
        <f t="shared" si="1179"/>
        <v>6.9272133170172456E-4</v>
      </c>
      <c r="N2297" t="s">
        <v>242</v>
      </c>
      <c r="O2297" t="s">
        <v>289</v>
      </c>
      <c r="P2297" t="s">
        <v>391</v>
      </c>
      <c r="Q2297" s="4" t="s">
        <v>245</v>
      </c>
    </row>
    <row r="2298" spans="1:17" x14ac:dyDescent="0.25">
      <c r="A2298" t="s">
        <v>391</v>
      </c>
      <c r="B2298" t="s">
        <v>89</v>
      </c>
      <c r="C2298" s="4">
        <f t="shared" ref="C2298:M2298" si="1180">(0.965752550654969/(0.965752550654969+0.034247449345031)) * 0.907165993201206%/(1-C2293)</f>
        <v>9.1409349194275808E-3</v>
      </c>
      <c r="D2298" s="4">
        <f t="shared" si="1180"/>
        <v>9.1409349194275808E-3</v>
      </c>
      <c r="E2298" s="4">
        <f t="shared" si="1180"/>
        <v>9.1409349194275808E-3</v>
      </c>
      <c r="F2298" s="4">
        <f t="shared" si="1180"/>
        <v>9.1409349194275808E-3</v>
      </c>
      <c r="G2298" s="4">
        <f t="shared" si="1180"/>
        <v>9.1409349194275808E-3</v>
      </c>
      <c r="H2298" s="4">
        <f t="shared" si="1180"/>
        <v>9.1409349194275808E-3</v>
      </c>
      <c r="I2298" s="4">
        <f t="shared" si="1180"/>
        <v>9.1409349194275808E-3</v>
      </c>
      <c r="J2298" s="4">
        <f t="shared" si="1180"/>
        <v>9.1409349194275808E-3</v>
      </c>
      <c r="K2298" s="4">
        <f t="shared" si="1180"/>
        <v>9.1409349194275808E-3</v>
      </c>
      <c r="L2298" s="4">
        <f t="shared" si="1180"/>
        <v>9.1409349194275808E-3</v>
      </c>
      <c r="M2298" s="4">
        <f t="shared" si="1180"/>
        <v>9.1409349194275808E-3</v>
      </c>
      <c r="N2298" t="s">
        <v>288</v>
      </c>
      <c r="O2298" t="s">
        <v>390</v>
      </c>
      <c r="P2298" t="s">
        <v>391</v>
      </c>
      <c r="Q2298" s="4" t="s">
        <v>245</v>
      </c>
    </row>
    <row r="2299" spans="1:17" x14ac:dyDescent="0.25">
      <c r="A2299" t="s">
        <v>391</v>
      </c>
      <c r="B2299" t="s">
        <v>89</v>
      </c>
      <c r="C2299" s="4">
        <f t="shared" ref="C2299:M2299" si="1181">(0.034247449345031/(0.965752550654969+0.034247449345031)) * 0.907165993201206%/(1-C2293)</f>
        <v>3.2415519421306161E-4</v>
      </c>
      <c r="D2299" s="4">
        <f t="shared" si="1181"/>
        <v>3.2415519421306161E-4</v>
      </c>
      <c r="E2299" s="4">
        <f t="shared" si="1181"/>
        <v>3.2415519421306161E-4</v>
      </c>
      <c r="F2299" s="4">
        <f t="shared" si="1181"/>
        <v>3.2415519421306161E-4</v>
      </c>
      <c r="G2299" s="4">
        <f t="shared" si="1181"/>
        <v>3.2415519421306161E-4</v>
      </c>
      <c r="H2299" s="4">
        <f t="shared" si="1181"/>
        <v>3.2415519421306161E-4</v>
      </c>
      <c r="I2299" s="4">
        <f t="shared" si="1181"/>
        <v>3.2415519421306161E-4</v>
      </c>
      <c r="J2299" s="4">
        <f t="shared" si="1181"/>
        <v>3.2415519421306161E-4</v>
      </c>
      <c r="K2299" s="4">
        <f t="shared" si="1181"/>
        <v>3.2415519421306161E-4</v>
      </c>
      <c r="L2299" s="4">
        <f t="shared" si="1181"/>
        <v>3.2415519421306161E-4</v>
      </c>
      <c r="M2299" s="4">
        <f t="shared" si="1181"/>
        <v>3.2415519421306161E-4</v>
      </c>
      <c r="N2299" t="s">
        <v>242</v>
      </c>
      <c r="O2299" t="s">
        <v>289</v>
      </c>
      <c r="P2299" t="s">
        <v>391</v>
      </c>
      <c r="Q2299" s="4" t="s">
        <v>245</v>
      </c>
    </row>
    <row r="2300" spans="1:17" x14ac:dyDescent="0.25">
      <c r="A2300" t="s">
        <v>391</v>
      </c>
      <c r="B2300" t="s">
        <v>154</v>
      </c>
      <c r="C2300" s="4">
        <f t="shared" ref="C2300:M2300" si="1182">(0.965752550654969/(0.965752550654969+0.034247449345031)) * 1.60617503688025%/(1-C2293)</f>
        <v>1.6184404608821312E-2</v>
      </c>
      <c r="D2300" s="4">
        <f t="shared" si="1182"/>
        <v>1.6184404608821312E-2</v>
      </c>
      <c r="E2300" s="4">
        <f t="shared" si="1182"/>
        <v>1.6184404608821312E-2</v>
      </c>
      <c r="F2300" s="4">
        <f t="shared" si="1182"/>
        <v>1.6184404608821312E-2</v>
      </c>
      <c r="G2300" s="4">
        <f t="shared" si="1182"/>
        <v>1.6184404608821312E-2</v>
      </c>
      <c r="H2300" s="4">
        <f t="shared" si="1182"/>
        <v>1.6184404608821312E-2</v>
      </c>
      <c r="I2300" s="4">
        <f t="shared" si="1182"/>
        <v>1.6184404608821312E-2</v>
      </c>
      <c r="J2300" s="4">
        <f t="shared" si="1182"/>
        <v>1.6184404608821312E-2</v>
      </c>
      <c r="K2300" s="4">
        <f t="shared" si="1182"/>
        <v>1.6184404608821312E-2</v>
      </c>
      <c r="L2300" s="4">
        <f t="shared" si="1182"/>
        <v>1.6184404608821312E-2</v>
      </c>
      <c r="M2300" s="4">
        <f t="shared" si="1182"/>
        <v>1.6184404608821312E-2</v>
      </c>
      <c r="N2300" t="s">
        <v>288</v>
      </c>
      <c r="O2300" t="s">
        <v>390</v>
      </c>
      <c r="P2300" t="s">
        <v>391</v>
      </c>
      <c r="Q2300" s="4" t="s">
        <v>245</v>
      </c>
    </row>
    <row r="2301" spans="1:17" x14ac:dyDescent="0.25">
      <c r="A2301" t="s">
        <v>391</v>
      </c>
      <c r="B2301" t="s">
        <v>154</v>
      </c>
      <c r="C2301" s="4">
        <f t="shared" ref="C2301:M2301" si="1183">(0.034247449345031/(0.965752550654969+0.034247449345031)) * 1.60617503688025%/(1-C2293)</f>
        <v>5.7393022326908448E-4</v>
      </c>
      <c r="D2301" s="4">
        <f t="shared" si="1183"/>
        <v>5.7393022326908448E-4</v>
      </c>
      <c r="E2301" s="4">
        <f t="shared" si="1183"/>
        <v>5.7393022326908448E-4</v>
      </c>
      <c r="F2301" s="4">
        <f t="shared" si="1183"/>
        <v>5.7393022326908448E-4</v>
      </c>
      <c r="G2301" s="4">
        <f t="shared" si="1183"/>
        <v>5.7393022326908448E-4</v>
      </c>
      <c r="H2301" s="4">
        <f t="shared" si="1183"/>
        <v>5.7393022326908448E-4</v>
      </c>
      <c r="I2301" s="4">
        <f t="shared" si="1183"/>
        <v>5.7393022326908448E-4</v>
      </c>
      <c r="J2301" s="4">
        <f t="shared" si="1183"/>
        <v>5.7393022326908448E-4</v>
      </c>
      <c r="K2301" s="4">
        <f t="shared" si="1183"/>
        <v>5.7393022326908448E-4</v>
      </c>
      <c r="L2301" s="4">
        <f t="shared" si="1183"/>
        <v>5.7393022326908448E-4</v>
      </c>
      <c r="M2301" s="4">
        <f t="shared" si="1183"/>
        <v>5.7393022326908448E-4</v>
      </c>
      <c r="N2301" t="s">
        <v>242</v>
      </c>
      <c r="O2301" t="s">
        <v>289</v>
      </c>
      <c r="P2301" t="s">
        <v>391</v>
      </c>
      <c r="Q2301" s="4" t="s">
        <v>245</v>
      </c>
    </row>
    <row r="2302" spans="1:17" x14ac:dyDescent="0.25">
      <c r="A2302" t="s">
        <v>391</v>
      </c>
      <c r="B2302" t="s">
        <v>93</v>
      </c>
      <c r="C2302" s="4">
        <f t="shared" ref="C2302:M2302" si="1184">(0.965752550654969/(0.965752550654969+0.034247449345031)) * 0.50189211724713%/(1-C2293)</f>
        <v>5.057247752575514E-3</v>
      </c>
      <c r="D2302" s="4">
        <f t="shared" si="1184"/>
        <v>5.057247752575514E-3</v>
      </c>
      <c r="E2302" s="4">
        <f t="shared" si="1184"/>
        <v>5.057247752575514E-3</v>
      </c>
      <c r="F2302" s="4">
        <f t="shared" si="1184"/>
        <v>5.057247752575514E-3</v>
      </c>
      <c r="G2302" s="4">
        <f t="shared" si="1184"/>
        <v>5.057247752575514E-3</v>
      </c>
      <c r="H2302" s="4">
        <f t="shared" si="1184"/>
        <v>5.057247752575514E-3</v>
      </c>
      <c r="I2302" s="4">
        <f t="shared" si="1184"/>
        <v>5.057247752575514E-3</v>
      </c>
      <c r="J2302" s="4">
        <f t="shared" si="1184"/>
        <v>5.057247752575514E-3</v>
      </c>
      <c r="K2302" s="4">
        <f t="shared" si="1184"/>
        <v>5.057247752575514E-3</v>
      </c>
      <c r="L2302" s="4">
        <f t="shared" si="1184"/>
        <v>5.057247752575514E-3</v>
      </c>
      <c r="M2302" s="4">
        <f t="shared" si="1184"/>
        <v>5.057247752575514E-3</v>
      </c>
      <c r="N2302" t="s">
        <v>288</v>
      </c>
      <c r="O2302" t="s">
        <v>390</v>
      </c>
      <c r="P2302" t="s">
        <v>391</v>
      </c>
      <c r="Q2302" s="4" t="s">
        <v>245</v>
      </c>
    </row>
    <row r="2303" spans="1:17" x14ac:dyDescent="0.25">
      <c r="A2303" t="s">
        <v>391</v>
      </c>
      <c r="B2303" t="s">
        <v>93</v>
      </c>
      <c r="C2303" s="4">
        <f t="shared" ref="C2303:M2303" si="1185">(0.034247449345031/(0.965752550654969+0.034247449345031)) * 0.50189211724713%/(1-C2293)</f>
        <v>1.7933976577554967E-4</v>
      </c>
      <c r="D2303" s="4">
        <f t="shared" si="1185"/>
        <v>1.7933976577554967E-4</v>
      </c>
      <c r="E2303" s="4">
        <f t="shared" si="1185"/>
        <v>1.7933976577554967E-4</v>
      </c>
      <c r="F2303" s="4">
        <f t="shared" si="1185"/>
        <v>1.7933976577554967E-4</v>
      </c>
      <c r="G2303" s="4">
        <f t="shared" si="1185"/>
        <v>1.7933976577554967E-4</v>
      </c>
      <c r="H2303" s="4">
        <f t="shared" si="1185"/>
        <v>1.7933976577554967E-4</v>
      </c>
      <c r="I2303" s="4">
        <f t="shared" si="1185"/>
        <v>1.7933976577554967E-4</v>
      </c>
      <c r="J2303" s="4">
        <f t="shared" si="1185"/>
        <v>1.7933976577554967E-4</v>
      </c>
      <c r="K2303" s="4">
        <f t="shared" si="1185"/>
        <v>1.7933976577554967E-4</v>
      </c>
      <c r="L2303" s="4">
        <f t="shared" si="1185"/>
        <v>1.7933976577554967E-4</v>
      </c>
      <c r="M2303" s="4">
        <f t="shared" si="1185"/>
        <v>1.7933976577554967E-4</v>
      </c>
      <c r="N2303" t="s">
        <v>242</v>
      </c>
      <c r="O2303" t="s">
        <v>289</v>
      </c>
      <c r="P2303" t="s">
        <v>391</v>
      </c>
      <c r="Q2303" s="4" t="s">
        <v>245</v>
      </c>
    </row>
    <row r="2304" spans="1:17" x14ac:dyDescent="0.25">
      <c r="A2304" t="s">
        <v>391</v>
      </c>
      <c r="B2304" t="s">
        <v>196</v>
      </c>
      <c r="C2304" s="4">
        <f t="shared" ref="C2304:M2304" si="1186">(0.965752550654969/(0.965752550654969+0.034247449345031)) * 1.96601404656533%/(1-C2293)</f>
        <v>1.9810273516666317E-2</v>
      </c>
      <c r="D2304" s="4">
        <f t="shared" si="1186"/>
        <v>1.9810273516666317E-2</v>
      </c>
      <c r="E2304" s="4">
        <f t="shared" si="1186"/>
        <v>1.9810273516666317E-2</v>
      </c>
      <c r="F2304" s="4">
        <f t="shared" si="1186"/>
        <v>1.9810273516666317E-2</v>
      </c>
      <c r="G2304" s="4">
        <f t="shared" si="1186"/>
        <v>1.9810273516666317E-2</v>
      </c>
      <c r="H2304" s="4">
        <f t="shared" si="1186"/>
        <v>1.9810273516666317E-2</v>
      </c>
      <c r="I2304" s="4">
        <f t="shared" si="1186"/>
        <v>1.9810273516666317E-2</v>
      </c>
      <c r="J2304" s="4">
        <f t="shared" si="1186"/>
        <v>1.9810273516666317E-2</v>
      </c>
      <c r="K2304" s="4">
        <f t="shared" si="1186"/>
        <v>1.9810273516666317E-2</v>
      </c>
      <c r="L2304" s="4">
        <f t="shared" si="1186"/>
        <v>1.9810273516666317E-2</v>
      </c>
      <c r="M2304" s="4">
        <f t="shared" si="1186"/>
        <v>1.9810273516666317E-2</v>
      </c>
      <c r="N2304" t="s">
        <v>288</v>
      </c>
      <c r="O2304" t="s">
        <v>390</v>
      </c>
      <c r="P2304" t="s">
        <v>391</v>
      </c>
      <c r="Q2304" s="4" t="s">
        <v>245</v>
      </c>
    </row>
    <row r="2305" spans="1:17" x14ac:dyDescent="0.25">
      <c r="A2305" t="s">
        <v>391</v>
      </c>
      <c r="B2305" t="s">
        <v>196</v>
      </c>
      <c r="C2305" s="4">
        <f t="shared" ref="C2305:M2305" si="1187">(0.034247449345031/(0.965752550654969+0.034247449345031)) * 1.96601404656533%/(1-C2293)</f>
        <v>7.0251053265468083E-4</v>
      </c>
      <c r="D2305" s="4">
        <f t="shared" si="1187"/>
        <v>7.0251053265468083E-4</v>
      </c>
      <c r="E2305" s="4">
        <f t="shared" si="1187"/>
        <v>7.0251053265468083E-4</v>
      </c>
      <c r="F2305" s="4">
        <f t="shared" si="1187"/>
        <v>7.0251053265468083E-4</v>
      </c>
      <c r="G2305" s="4">
        <f t="shared" si="1187"/>
        <v>7.0251053265468083E-4</v>
      </c>
      <c r="H2305" s="4">
        <f t="shared" si="1187"/>
        <v>7.0251053265468083E-4</v>
      </c>
      <c r="I2305" s="4">
        <f t="shared" si="1187"/>
        <v>7.0251053265468083E-4</v>
      </c>
      <c r="J2305" s="4">
        <f t="shared" si="1187"/>
        <v>7.0251053265468083E-4</v>
      </c>
      <c r="K2305" s="4">
        <f t="shared" si="1187"/>
        <v>7.0251053265468083E-4</v>
      </c>
      <c r="L2305" s="4">
        <f t="shared" si="1187"/>
        <v>7.0251053265468083E-4</v>
      </c>
      <c r="M2305" s="4">
        <f t="shared" si="1187"/>
        <v>7.0251053265468083E-4</v>
      </c>
      <c r="N2305" t="s">
        <v>242</v>
      </c>
      <c r="O2305" t="s">
        <v>289</v>
      </c>
      <c r="P2305" t="s">
        <v>391</v>
      </c>
      <c r="Q2305" s="4" t="s">
        <v>245</v>
      </c>
    </row>
    <row r="2306" spans="1:17" x14ac:dyDescent="0.25">
      <c r="A2306" t="s">
        <v>391</v>
      </c>
      <c r="B2306" t="s">
        <v>98</v>
      </c>
      <c r="C2306" s="4">
        <f t="shared" ref="C2306:M2306" si="1188">(0.965752550654969/(0.965752550654969+0.034247449345031)) * 32.3319543326278%/(1-C2293)</f>
        <v>0.32578854651455702</v>
      </c>
      <c r="D2306" s="4">
        <f t="shared" si="1188"/>
        <v>0.32578854651455702</v>
      </c>
      <c r="E2306" s="4">
        <f t="shared" si="1188"/>
        <v>0.32578854651455702</v>
      </c>
      <c r="F2306" s="4">
        <f t="shared" si="1188"/>
        <v>0.32578854651455702</v>
      </c>
      <c r="G2306" s="4">
        <f t="shared" si="1188"/>
        <v>0.32578854651455702</v>
      </c>
      <c r="H2306" s="4">
        <f t="shared" si="1188"/>
        <v>0.32578854651455702</v>
      </c>
      <c r="I2306" s="4">
        <f t="shared" si="1188"/>
        <v>0.32578854651455702</v>
      </c>
      <c r="J2306" s="4">
        <f t="shared" si="1188"/>
        <v>0.32578854651455702</v>
      </c>
      <c r="K2306" s="4">
        <f t="shared" si="1188"/>
        <v>0.32578854651455702</v>
      </c>
      <c r="L2306" s="4">
        <f t="shared" si="1188"/>
        <v>0.32578854651455702</v>
      </c>
      <c r="M2306" s="4">
        <f t="shared" si="1188"/>
        <v>0.32578854651455702</v>
      </c>
      <c r="N2306" t="s">
        <v>288</v>
      </c>
      <c r="O2306" t="s">
        <v>390</v>
      </c>
      <c r="P2306" t="s">
        <v>391</v>
      </c>
      <c r="Q2306" s="4" t="s">
        <v>245</v>
      </c>
    </row>
    <row r="2307" spans="1:17" x14ac:dyDescent="0.25">
      <c r="A2307" t="s">
        <v>391</v>
      </c>
      <c r="B2307" t="s">
        <v>98</v>
      </c>
      <c r="C2307" s="4">
        <f t="shared" ref="C2307:M2307" si="1189">(0.034247449345031/(0.965752550654969+0.034247449345031)) * 32.3319543326278%/(1-C2293)</f>
        <v>1.1553090630080814E-2</v>
      </c>
      <c r="D2307" s="4">
        <f t="shared" si="1189"/>
        <v>1.1553090630080814E-2</v>
      </c>
      <c r="E2307" s="4">
        <f t="shared" si="1189"/>
        <v>1.1553090630080814E-2</v>
      </c>
      <c r="F2307" s="4">
        <f t="shared" si="1189"/>
        <v>1.1553090630080814E-2</v>
      </c>
      <c r="G2307" s="4">
        <f t="shared" si="1189"/>
        <v>1.1553090630080814E-2</v>
      </c>
      <c r="H2307" s="4">
        <f t="shared" si="1189"/>
        <v>1.1553090630080814E-2</v>
      </c>
      <c r="I2307" s="4">
        <f t="shared" si="1189"/>
        <v>1.1553090630080814E-2</v>
      </c>
      <c r="J2307" s="4">
        <f t="shared" si="1189"/>
        <v>1.1553090630080814E-2</v>
      </c>
      <c r="K2307" s="4">
        <f t="shared" si="1189"/>
        <v>1.1553090630080814E-2</v>
      </c>
      <c r="L2307" s="4">
        <f t="shared" si="1189"/>
        <v>1.1553090630080814E-2</v>
      </c>
      <c r="M2307" s="4">
        <f t="shared" si="1189"/>
        <v>1.1553090630080814E-2</v>
      </c>
      <c r="N2307" t="s">
        <v>242</v>
      </c>
      <c r="O2307" t="s">
        <v>289</v>
      </c>
      <c r="P2307" t="s">
        <v>391</v>
      </c>
      <c r="Q2307" s="4" t="s">
        <v>245</v>
      </c>
    </row>
    <row r="2308" spans="1:17" x14ac:dyDescent="0.25">
      <c r="A2308" t="s">
        <v>391</v>
      </c>
      <c r="B2308" t="s">
        <v>100</v>
      </c>
      <c r="C2308" s="4">
        <f t="shared" ref="C2308:M2308" si="1190">(0.965752550654969/(0.965752550654969+0.034247449345031)) * 0.500288628054647%/(1-C2293)</f>
        <v>5.0410904115129711E-3</v>
      </c>
      <c r="D2308" s="4">
        <f t="shared" si="1190"/>
        <v>5.0410904115129711E-3</v>
      </c>
      <c r="E2308" s="4">
        <f t="shared" si="1190"/>
        <v>5.0410904115129711E-3</v>
      </c>
      <c r="F2308" s="4">
        <f t="shared" si="1190"/>
        <v>5.0410904115129711E-3</v>
      </c>
      <c r="G2308" s="4">
        <f t="shared" si="1190"/>
        <v>5.0410904115129711E-3</v>
      </c>
      <c r="H2308" s="4">
        <f t="shared" si="1190"/>
        <v>5.0410904115129711E-3</v>
      </c>
      <c r="I2308" s="4">
        <f t="shared" si="1190"/>
        <v>5.0410904115129711E-3</v>
      </c>
      <c r="J2308" s="4">
        <f t="shared" si="1190"/>
        <v>5.0410904115129711E-3</v>
      </c>
      <c r="K2308" s="4">
        <f t="shared" si="1190"/>
        <v>5.0410904115129711E-3</v>
      </c>
      <c r="L2308" s="4">
        <f t="shared" si="1190"/>
        <v>5.0410904115129711E-3</v>
      </c>
      <c r="M2308" s="4">
        <f t="shared" si="1190"/>
        <v>5.0410904115129711E-3</v>
      </c>
      <c r="N2308" t="s">
        <v>288</v>
      </c>
      <c r="O2308" t="s">
        <v>390</v>
      </c>
      <c r="P2308" t="s">
        <v>391</v>
      </c>
      <c r="Q2308" s="4" t="s">
        <v>245</v>
      </c>
    </row>
    <row r="2309" spans="1:17" x14ac:dyDescent="0.25">
      <c r="A2309" t="s">
        <v>391</v>
      </c>
      <c r="B2309" t="s">
        <v>100</v>
      </c>
      <c r="C2309" s="4">
        <f t="shared" ref="C2309:M2309" si="1191">(0.034247449345031/(0.965752550654969+0.034247449345031)) * 0.500288628054647%/(1-C2293)</f>
        <v>1.7876679527786414E-4</v>
      </c>
      <c r="D2309" s="4">
        <f t="shared" si="1191"/>
        <v>1.7876679527786414E-4</v>
      </c>
      <c r="E2309" s="4">
        <f t="shared" si="1191"/>
        <v>1.7876679527786414E-4</v>
      </c>
      <c r="F2309" s="4">
        <f t="shared" si="1191"/>
        <v>1.7876679527786414E-4</v>
      </c>
      <c r="G2309" s="4">
        <f t="shared" si="1191"/>
        <v>1.7876679527786414E-4</v>
      </c>
      <c r="H2309" s="4">
        <f t="shared" si="1191"/>
        <v>1.7876679527786414E-4</v>
      </c>
      <c r="I2309" s="4">
        <f t="shared" si="1191"/>
        <v>1.7876679527786414E-4</v>
      </c>
      <c r="J2309" s="4">
        <f t="shared" si="1191"/>
        <v>1.7876679527786414E-4</v>
      </c>
      <c r="K2309" s="4">
        <f t="shared" si="1191"/>
        <v>1.7876679527786414E-4</v>
      </c>
      <c r="L2309" s="4">
        <f t="shared" si="1191"/>
        <v>1.7876679527786414E-4</v>
      </c>
      <c r="M2309" s="4">
        <f t="shared" si="1191"/>
        <v>1.7876679527786414E-4</v>
      </c>
      <c r="N2309" t="s">
        <v>242</v>
      </c>
      <c r="O2309" t="s">
        <v>289</v>
      </c>
      <c r="P2309" t="s">
        <v>391</v>
      </c>
      <c r="Q2309" s="4" t="s">
        <v>245</v>
      </c>
    </row>
    <row r="2310" spans="1:17" x14ac:dyDescent="0.25">
      <c r="A2310" t="s">
        <v>391</v>
      </c>
      <c r="B2310" t="s">
        <v>230</v>
      </c>
      <c r="C2310" s="4">
        <f t="shared" ref="C2310:M2310" si="1192">(0.965752550654969/(0.965752550654969+0.034247449345031)) * 0.191761272529023%/(1-C2293)</f>
        <v>1.9322564176693449E-3</v>
      </c>
      <c r="D2310" s="4">
        <f t="shared" si="1192"/>
        <v>1.9322564176693449E-3</v>
      </c>
      <c r="E2310" s="4">
        <f t="shared" si="1192"/>
        <v>1.9322564176693449E-3</v>
      </c>
      <c r="F2310" s="4">
        <f t="shared" si="1192"/>
        <v>1.9322564176693449E-3</v>
      </c>
      <c r="G2310" s="4">
        <f t="shared" si="1192"/>
        <v>1.9322564176693449E-3</v>
      </c>
      <c r="H2310" s="4">
        <f t="shared" si="1192"/>
        <v>1.9322564176693449E-3</v>
      </c>
      <c r="I2310" s="4">
        <f t="shared" si="1192"/>
        <v>1.9322564176693449E-3</v>
      </c>
      <c r="J2310" s="4">
        <f t="shared" si="1192"/>
        <v>1.9322564176693449E-3</v>
      </c>
      <c r="K2310" s="4">
        <f t="shared" si="1192"/>
        <v>1.9322564176693449E-3</v>
      </c>
      <c r="L2310" s="4">
        <f t="shared" si="1192"/>
        <v>1.9322564176693449E-3</v>
      </c>
      <c r="M2310" s="4">
        <f t="shared" si="1192"/>
        <v>1.9322564176693449E-3</v>
      </c>
      <c r="N2310" t="s">
        <v>288</v>
      </c>
      <c r="O2310" t="s">
        <v>390</v>
      </c>
      <c r="P2310" t="s">
        <v>391</v>
      </c>
      <c r="Q2310" s="4" t="s">
        <v>245</v>
      </c>
    </row>
    <row r="2311" spans="1:17" x14ac:dyDescent="0.25">
      <c r="A2311" t="s">
        <v>391</v>
      </c>
      <c r="B2311" t="s">
        <v>230</v>
      </c>
      <c r="C2311" s="4">
        <f t="shared" ref="C2311:M2311" si="1193">(0.034247449345031/(0.965752550654969+0.034247449345031)) * 0.191761272529023%/(1-C2293)</f>
        <v>6.852154181820432E-5</v>
      </c>
      <c r="D2311" s="4">
        <f t="shared" si="1193"/>
        <v>6.852154181820432E-5</v>
      </c>
      <c r="E2311" s="4">
        <f t="shared" si="1193"/>
        <v>6.852154181820432E-5</v>
      </c>
      <c r="F2311" s="4">
        <f t="shared" si="1193"/>
        <v>6.852154181820432E-5</v>
      </c>
      <c r="G2311" s="4">
        <f t="shared" si="1193"/>
        <v>6.852154181820432E-5</v>
      </c>
      <c r="H2311" s="4">
        <f t="shared" si="1193"/>
        <v>6.852154181820432E-5</v>
      </c>
      <c r="I2311" s="4">
        <f t="shared" si="1193"/>
        <v>6.852154181820432E-5</v>
      </c>
      <c r="J2311" s="4">
        <f t="shared" si="1193"/>
        <v>6.852154181820432E-5</v>
      </c>
      <c r="K2311" s="4">
        <f t="shared" si="1193"/>
        <v>6.852154181820432E-5</v>
      </c>
      <c r="L2311" s="4">
        <f t="shared" si="1193"/>
        <v>6.852154181820432E-5</v>
      </c>
      <c r="M2311" s="4">
        <f t="shared" si="1193"/>
        <v>6.852154181820432E-5</v>
      </c>
      <c r="N2311" t="s">
        <v>242</v>
      </c>
      <c r="O2311" t="s">
        <v>289</v>
      </c>
      <c r="P2311" t="s">
        <v>391</v>
      </c>
      <c r="Q2311" s="4" t="s">
        <v>245</v>
      </c>
    </row>
    <row r="2312" spans="1:17" x14ac:dyDescent="0.25">
      <c r="A2312" t="s">
        <v>391</v>
      </c>
      <c r="B2312" t="s">
        <v>141</v>
      </c>
      <c r="C2312" s="4">
        <f t="shared" ref="C2312:M2312" si="1194">(0.965752550654969/(0.965752550654969+0.034247449345031)) * 1.13515810403438%/(1-C2293)</f>
        <v>1.1438266458405065E-2</v>
      </c>
      <c r="D2312" s="4">
        <f t="shared" si="1194"/>
        <v>1.1438266458405065E-2</v>
      </c>
      <c r="E2312" s="4">
        <f t="shared" si="1194"/>
        <v>1.1438266458405065E-2</v>
      </c>
      <c r="F2312" s="4">
        <f t="shared" si="1194"/>
        <v>1.1438266458405065E-2</v>
      </c>
      <c r="G2312" s="4">
        <f t="shared" si="1194"/>
        <v>1.1438266458405065E-2</v>
      </c>
      <c r="H2312" s="4">
        <f t="shared" si="1194"/>
        <v>1.1438266458405065E-2</v>
      </c>
      <c r="I2312" s="4">
        <f t="shared" si="1194"/>
        <v>1.1438266458405065E-2</v>
      </c>
      <c r="J2312" s="4">
        <f t="shared" si="1194"/>
        <v>1.1438266458405065E-2</v>
      </c>
      <c r="K2312" s="4">
        <f t="shared" si="1194"/>
        <v>1.1438266458405065E-2</v>
      </c>
      <c r="L2312" s="4">
        <f t="shared" si="1194"/>
        <v>1.1438266458405065E-2</v>
      </c>
      <c r="M2312" s="4">
        <f t="shared" si="1194"/>
        <v>1.1438266458405065E-2</v>
      </c>
      <c r="N2312" t="s">
        <v>288</v>
      </c>
      <c r="O2312" t="s">
        <v>390</v>
      </c>
      <c r="P2312" t="s">
        <v>391</v>
      </c>
      <c r="Q2312" s="4" t="s">
        <v>245</v>
      </c>
    </row>
    <row r="2313" spans="1:17" x14ac:dyDescent="0.25">
      <c r="A2313" t="s">
        <v>391</v>
      </c>
      <c r="B2313" t="s">
        <v>141</v>
      </c>
      <c r="C2313" s="4">
        <f t="shared" ref="C2313:M2313" si="1195">(0.034247449345031/(0.965752550654969+0.034247449345031)) * 1.13515810403438%/(1-C2293)</f>
        <v>4.0562300442646942E-4</v>
      </c>
      <c r="D2313" s="4">
        <f t="shared" si="1195"/>
        <v>4.0562300442646942E-4</v>
      </c>
      <c r="E2313" s="4">
        <f t="shared" si="1195"/>
        <v>4.0562300442646942E-4</v>
      </c>
      <c r="F2313" s="4">
        <f t="shared" si="1195"/>
        <v>4.0562300442646942E-4</v>
      </c>
      <c r="G2313" s="4">
        <f t="shared" si="1195"/>
        <v>4.0562300442646942E-4</v>
      </c>
      <c r="H2313" s="4">
        <f t="shared" si="1195"/>
        <v>4.0562300442646942E-4</v>
      </c>
      <c r="I2313" s="4">
        <f t="shared" si="1195"/>
        <v>4.0562300442646942E-4</v>
      </c>
      <c r="J2313" s="4">
        <f t="shared" si="1195"/>
        <v>4.0562300442646942E-4</v>
      </c>
      <c r="K2313" s="4">
        <f t="shared" si="1195"/>
        <v>4.0562300442646942E-4</v>
      </c>
      <c r="L2313" s="4">
        <f t="shared" si="1195"/>
        <v>4.0562300442646942E-4</v>
      </c>
      <c r="M2313" s="4">
        <f t="shared" si="1195"/>
        <v>4.0562300442646942E-4</v>
      </c>
      <c r="N2313" t="s">
        <v>242</v>
      </c>
      <c r="O2313" t="s">
        <v>289</v>
      </c>
      <c r="P2313" t="s">
        <v>391</v>
      </c>
      <c r="Q2313" s="4" t="s">
        <v>245</v>
      </c>
    </row>
    <row r="2314" spans="1:17" x14ac:dyDescent="0.25">
      <c r="A2314" t="s">
        <v>391</v>
      </c>
      <c r="B2314" t="s">
        <v>161</v>
      </c>
      <c r="C2314" s="4">
        <f t="shared" ref="C2314:M2314" si="1196">(0.965752550654969/(0.965752550654969+0.034247449345031)) * 0.00523539221345648%/(1-C2293)</f>
        <v>5.2753718569198211E-5</v>
      </c>
      <c r="D2314" s="4">
        <f t="shared" si="1196"/>
        <v>5.2753718569198211E-5</v>
      </c>
      <c r="E2314" s="4">
        <f t="shared" si="1196"/>
        <v>5.2753718569198211E-5</v>
      </c>
      <c r="F2314" s="4">
        <f t="shared" si="1196"/>
        <v>5.2753718569198211E-5</v>
      </c>
      <c r="G2314" s="4">
        <f t="shared" si="1196"/>
        <v>5.2753718569198211E-5</v>
      </c>
      <c r="H2314" s="4">
        <f t="shared" si="1196"/>
        <v>5.2753718569198211E-5</v>
      </c>
      <c r="I2314" s="4">
        <f t="shared" si="1196"/>
        <v>5.2753718569198211E-5</v>
      </c>
      <c r="J2314" s="4">
        <f t="shared" si="1196"/>
        <v>5.2753718569198211E-5</v>
      </c>
      <c r="K2314" s="4">
        <f t="shared" si="1196"/>
        <v>5.2753718569198211E-5</v>
      </c>
      <c r="L2314" s="4">
        <f t="shared" si="1196"/>
        <v>5.2753718569198211E-5</v>
      </c>
      <c r="M2314" s="4">
        <f t="shared" si="1196"/>
        <v>5.2753718569198211E-5</v>
      </c>
      <c r="N2314" t="s">
        <v>288</v>
      </c>
      <c r="O2314" t="s">
        <v>390</v>
      </c>
      <c r="P2314" t="s">
        <v>391</v>
      </c>
      <c r="Q2314" s="4" t="s">
        <v>245</v>
      </c>
    </row>
    <row r="2315" spans="1:17" x14ac:dyDescent="0.25">
      <c r="A2315" t="s">
        <v>391</v>
      </c>
      <c r="B2315" t="s">
        <v>161</v>
      </c>
      <c r="C2315" s="4">
        <f t="shared" ref="C2315:M2315" si="1197">(0.034247449345031/(0.965752550654969+0.034247449345031)) * 0.00523539221345648%/(1-C2293)</f>
        <v>1.8707486749430324E-6</v>
      </c>
      <c r="D2315" s="4">
        <f t="shared" si="1197"/>
        <v>1.8707486749430324E-6</v>
      </c>
      <c r="E2315" s="4">
        <f t="shared" si="1197"/>
        <v>1.8707486749430324E-6</v>
      </c>
      <c r="F2315" s="4">
        <f t="shared" si="1197"/>
        <v>1.8707486749430324E-6</v>
      </c>
      <c r="G2315" s="4">
        <f t="shared" si="1197"/>
        <v>1.8707486749430324E-6</v>
      </c>
      <c r="H2315" s="4">
        <f t="shared" si="1197"/>
        <v>1.8707486749430324E-6</v>
      </c>
      <c r="I2315" s="4">
        <f t="shared" si="1197"/>
        <v>1.8707486749430324E-6</v>
      </c>
      <c r="J2315" s="4">
        <f t="shared" si="1197"/>
        <v>1.8707486749430324E-6</v>
      </c>
      <c r="K2315" s="4">
        <f t="shared" si="1197"/>
        <v>1.8707486749430324E-6</v>
      </c>
      <c r="L2315" s="4">
        <f t="shared" si="1197"/>
        <v>1.8707486749430324E-6</v>
      </c>
      <c r="M2315" s="4">
        <f t="shared" si="1197"/>
        <v>1.8707486749430324E-6</v>
      </c>
      <c r="N2315" t="s">
        <v>242</v>
      </c>
      <c r="O2315" t="s">
        <v>289</v>
      </c>
      <c r="P2315" t="s">
        <v>391</v>
      </c>
      <c r="Q2315" s="4" t="s">
        <v>245</v>
      </c>
    </row>
    <row r="2316" spans="1:17" x14ac:dyDescent="0.25">
      <c r="A2316" t="s">
        <v>391</v>
      </c>
      <c r="B2316" t="s">
        <v>174</v>
      </c>
      <c r="C2316" s="4">
        <f t="shared" ref="C2316:M2316" si="1198">(0.965752550654969/(0.965752550654969+0.034247449345031)) * 0.733620357898788%/(1-C2293)</f>
        <v>7.3922258962287081E-3</v>
      </c>
      <c r="D2316" s="4">
        <f t="shared" si="1198"/>
        <v>7.3922258962287081E-3</v>
      </c>
      <c r="E2316" s="4">
        <f t="shared" si="1198"/>
        <v>7.3922258962287081E-3</v>
      </c>
      <c r="F2316" s="4">
        <f t="shared" si="1198"/>
        <v>7.3922258962287081E-3</v>
      </c>
      <c r="G2316" s="4">
        <f t="shared" si="1198"/>
        <v>7.3922258962287081E-3</v>
      </c>
      <c r="H2316" s="4">
        <f t="shared" si="1198"/>
        <v>7.3922258962287081E-3</v>
      </c>
      <c r="I2316" s="4">
        <f t="shared" si="1198"/>
        <v>7.3922258962287081E-3</v>
      </c>
      <c r="J2316" s="4">
        <f t="shared" si="1198"/>
        <v>7.3922258962287081E-3</v>
      </c>
      <c r="K2316" s="4">
        <f t="shared" si="1198"/>
        <v>7.3922258962287081E-3</v>
      </c>
      <c r="L2316" s="4">
        <f t="shared" si="1198"/>
        <v>7.3922258962287081E-3</v>
      </c>
      <c r="M2316" s="4">
        <f t="shared" si="1198"/>
        <v>7.3922258962287081E-3</v>
      </c>
      <c r="N2316" t="s">
        <v>288</v>
      </c>
      <c r="O2316" t="s">
        <v>390</v>
      </c>
      <c r="P2316" t="s">
        <v>391</v>
      </c>
      <c r="Q2316" s="4" t="s">
        <v>245</v>
      </c>
    </row>
    <row r="2317" spans="1:17" x14ac:dyDescent="0.25">
      <c r="A2317" t="s">
        <v>391</v>
      </c>
      <c r="B2317" t="s">
        <v>174</v>
      </c>
      <c r="C2317" s="4">
        <f t="shared" ref="C2317:M2317" si="1199">(0.034247449345031/(0.965752550654969+0.034247449345031)) * 0.733620357898788%/(1-C2293)</f>
        <v>2.6214259724856417E-4</v>
      </c>
      <c r="D2317" s="4">
        <f t="shared" si="1199"/>
        <v>2.6214259724856417E-4</v>
      </c>
      <c r="E2317" s="4">
        <f t="shared" si="1199"/>
        <v>2.6214259724856417E-4</v>
      </c>
      <c r="F2317" s="4">
        <f t="shared" si="1199"/>
        <v>2.6214259724856417E-4</v>
      </c>
      <c r="G2317" s="4">
        <f t="shared" si="1199"/>
        <v>2.6214259724856417E-4</v>
      </c>
      <c r="H2317" s="4">
        <f t="shared" si="1199"/>
        <v>2.6214259724856417E-4</v>
      </c>
      <c r="I2317" s="4">
        <f t="shared" si="1199"/>
        <v>2.6214259724856417E-4</v>
      </c>
      <c r="J2317" s="4">
        <f t="shared" si="1199"/>
        <v>2.6214259724856417E-4</v>
      </c>
      <c r="K2317" s="4">
        <f t="shared" si="1199"/>
        <v>2.6214259724856417E-4</v>
      </c>
      <c r="L2317" s="4">
        <f t="shared" si="1199"/>
        <v>2.6214259724856417E-4</v>
      </c>
      <c r="M2317" s="4">
        <f t="shared" si="1199"/>
        <v>2.6214259724856417E-4</v>
      </c>
      <c r="N2317" t="s">
        <v>242</v>
      </c>
      <c r="O2317" t="s">
        <v>289</v>
      </c>
      <c r="P2317" t="s">
        <v>391</v>
      </c>
      <c r="Q2317" s="4" t="s">
        <v>245</v>
      </c>
    </row>
    <row r="2318" spans="1:17" x14ac:dyDescent="0.25">
      <c r="A2318" t="s">
        <v>391</v>
      </c>
      <c r="B2318" t="s">
        <v>162</v>
      </c>
      <c r="C2318" s="4">
        <f t="shared" ref="C2318:M2318" si="1200">(0.965752550654969/(0.965752550654969+0.034247449345031)) * 8.22229972419986%/(1-C2293)</f>
        <v>8.2850886420152856E-2</v>
      </c>
      <c r="D2318" s="4">
        <f t="shared" si="1200"/>
        <v>8.2850886420152856E-2</v>
      </c>
      <c r="E2318" s="4">
        <f t="shared" si="1200"/>
        <v>8.2850886420152856E-2</v>
      </c>
      <c r="F2318" s="4">
        <f t="shared" si="1200"/>
        <v>8.2850886420152856E-2</v>
      </c>
      <c r="G2318" s="4">
        <f t="shared" si="1200"/>
        <v>8.2850886420152856E-2</v>
      </c>
      <c r="H2318" s="4">
        <f t="shared" si="1200"/>
        <v>8.2850886420152856E-2</v>
      </c>
      <c r="I2318" s="4">
        <f t="shared" si="1200"/>
        <v>8.2850886420152856E-2</v>
      </c>
      <c r="J2318" s="4">
        <f t="shared" si="1200"/>
        <v>8.2850886420152856E-2</v>
      </c>
      <c r="K2318" s="4">
        <f t="shared" si="1200"/>
        <v>8.2850886420152856E-2</v>
      </c>
      <c r="L2318" s="4">
        <f t="shared" si="1200"/>
        <v>8.2850886420152856E-2</v>
      </c>
      <c r="M2318" s="4">
        <f t="shared" si="1200"/>
        <v>8.2850886420152856E-2</v>
      </c>
      <c r="N2318" t="s">
        <v>288</v>
      </c>
      <c r="O2318" t="s">
        <v>390</v>
      </c>
      <c r="P2318" t="s">
        <v>391</v>
      </c>
      <c r="Q2318" s="4" t="s">
        <v>245</v>
      </c>
    </row>
    <row r="2319" spans="1:17" x14ac:dyDescent="0.25">
      <c r="A2319" t="s">
        <v>391</v>
      </c>
      <c r="B2319" t="s">
        <v>162</v>
      </c>
      <c r="C2319" s="4">
        <f t="shared" ref="C2319:M2319" si="1201">(0.034247449345031/(0.965752550654969+0.034247449345031)) * 8.22229972419986%/(1-C2293)</f>
        <v>2.9380523343591159E-3</v>
      </c>
      <c r="D2319" s="4">
        <f t="shared" si="1201"/>
        <v>2.9380523343591159E-3</v>
      </c>
      <c r="E2319" s="4">
        <f t="shared" si="1201"/>
        <v>2.9380523343591159E-3</v>
      </c>
      <c r="F2319" s="4">
        <f t="shared" si="1201"/>
        <v>2.9380523343591159E-3</v>
      </c>
      <c r="G2319" s="4">
        <f t="shared" si="1201"/>
        <v>2.9380523343591159E-3</v>
      </c>
      <c r="H2319" s="4">
        <f t="shared" si="1201"/>
        <v>2.9380523343591159E-3</v>
      </c>
      <c r="I2319" s="4">
        <f t="shared" si="1201"/>
        <v>2.9380523343591159E-3</v>
      </c>
      <c r="J2319" s="4">
        <f t="shared" si="1201"/>
        <v>2.9380523343591159E-3</v>
      </c>
      <c r="K2319" s="4">
        <f t="shared" si="1201"/>
        <v>2.9380523343591159E-3</v>
      </c>
      <c r="L2319" s="4">
        <f t="shared" si="1201"/>
        <v>2.9380523343591159E-3</v>
      </c>
      <c r="M2319" s="4">
        <f t="shared" si="1201"/>
        <v>2.9380523343591159E-3</v>
      </c>
      <c r="N2319" t="s">
        <v>242</v>
      </c>
      <c r="O2319" t="s">
        <v>289</v>
      </c>
      <c r="P2319" t="s">
        <v>391</v>
      </c>
      <c r="Q2319" s="4" t="s">
        <v>245</v>
      </c>
    </row>
    <row r="2320" spans="1:17" x14ac:dyDescent="0.25">
      <c r="A2320" t="s">
        <v>391</v>
      </c>
      <c r="B2320" t="s">
        <v>132</v>
      </c>
      <c r="C2320" s="4">
        <f t="shared" ref="C2320:M2320" si="1202">(0.965752550654969/(0.965752550654969+0.034247449345031)) * 0.00962093515489706%/(1-C2293)</f>
        <v>9.6944046375249451E-5</v>
      </c>
      <c r="D2320" s="4">
        <f t="shared" si="1202"/>
        <v>9.6944046375249451E-5</v>
      </c>
      <c r="E2320" s="4">
        <f t="shared" si="1202"/>
        <v>9.6944046375249451E-5</v>
      </c>
      <c r="F2320" s="4">
        <f t="shared" si="1202"/>
        <v>9.6944046375249451E-5</v>
      </c>
      <c r="G2320" s="4">
        <f t="shared" si="1202"/>
        <v>9.6944046375249451E-5</v>
      </c>
      <c r="H2320" s="4">
        <f t="shared" si="1202"/>
        <v>9.6944046375249451E-5</v>
      </c>
      <c r="I2320" s="4">
        <f t="shared" si="1202"/>
        <v>9.6944046375249451E-5</v>
      </c>
      <c r="J2320" s="4">
        <f t="shared" si="1202"/>
        <v>9.6944046375249451E-5</v>
      </c>
      <c r="K2320" s="4">
        <f t="shared" si="1202"/>
        <v>9.6944046375249451E-5</v>
      </c>
      <c r="L2320" s="4">
        <f t="shared" si="1202"/>
        <v>9.6944046375249451E-5</v>
      </c>
      <c r="M2320" s="4">
        <f t="shared" si="1202"/>
        <v>9.6944046375249451E-5</v>
      </c>
      <c r="N2320" t="s">
        <v>288</v>
      </c>
      <c r="O2320" t="s">
        <v>390</v>
      </c>
      <c r="P2320" t="s">
        <v>391</v>
      </c>
      <c r="Q2320" s="4" t="s">
        <v>245</v>
      </c>
    </row>
    <row r="2321" spans="1:17" x14ac:dyDescent="0.25">
      <c r="A2321" t="s">
        <v>391</v>
      </c>
      <c r="B2321" t="s">
        <v>132</v>
      </c>
      <c r="C2321" s="4">
        <f t="shared" ref="C2321:M2321" si="1203">(0.034247449345031/(0.965752550654969+0.034247449345031)) * 0.00962093515489706%/(1-C2293)</f>
        <v>3.4378229861127724E-6</v>
      </c>
      <c r="D2321" s="4">
        <f t="shared" si="1203"/>
        <v>3.4378229861127724E-6</v>
      </c>
      <c r="E2321" s="4">
        <f t="shared" si="1203"/>
        <v>3.4378229861127724E-6</v>
      </c>
      <c r="F2321" s="4">
        <f t="shared" si="1203"/>
        <v>3.4378229861127724E-6</v>
      </c>
      <c r="G2321" s="4">
        <f t="shared" si="1203"/>
        <v>3.4378229861127724E-6</v>
      </c>
      <c r="H2321" s="4">
        <f t="shared" si="1203"/>
        <v>3.4378229861127724E-6</v>
      </c>
      <c r="I2321" s="4">
        <f t="shared" si="1203"/>
        <v>3.4378229861127724E-6</v>
      </c>
      <c r="J2321" s="4">
        <f t="shared" si="1203"/>
        <v>3.4378229861127724E-6</v>
      </c>
      <c r="K2321" s="4">
        <f t="shared" si="1203"/>
        <v>3.4378229861127724E-6</v>
      </c>
      <c r="L2321" s="4">
        <f t="shared" si="1203"/>
        <v>3.4378229861127724E-6</v>
      </c>
      <c r="M2321" s="4">
        <f t="shared" si="1203"/>
        <v>3.4378229861127724E-6</v>
      </c>
      <c r="N2321" t="s">
        <v>242</v>
      </c>
      <c r="O2321" t="s">
        <v>289</v>
      </c>
      <c r="P2321" t="s">
        <v>391</v>
      </c>
      <c r="Q2321" s="4" t="s">
        <v>245</v>
      </c>
    </row>
    <row r="2322" spans="1:17" x14ac:dyDescent="0.25">
      <c r="A2322" t="s">
        <v>391</v>
      </c>
      <c r="B2322" t="s">
        <v>155</v>
      </c>
      <c r="C2322" s="4">
        <f t="shared" ref="C2322:M2322" si="1204">(0.965752550654969/(0.965752550654969+0.034247449345031)) * 1.34983323712398%/(1-C2293)</f>
        <v>1.3601411279858103E-2</v>
      </c>
      <c r="D2322" s="4">
        <f t="shared" si="1204"/>
        <v>1.3601411279858103E-2</v>
      </c>
      <c r="E2322" s="4">
        <f t="shared" si="1204"/>
        <v>1.3601411279858103E-2</v>
      </c>
      <c r="F2322" s="4">
        <f t="shared" si="1204"/>
        <v>1.3601411279858103E-2</v>
      </c>
      <c r="G2322" s="4">
        <f t="shared" si="1204"/>
        <v>1.3601411279858103E-2</v>
      </c>
      <c r="H2322" s="4">
        <f t="shared" si="1204"/>
        <v>1.3601411279858103E-2</v>
      </c>
      <c r="I2322" s="4">
        <f t="shared" si="1204"/>
        <v>1.3601411279858103E-2</v>
      </c>
      <c r="J2322" s="4">
        <f t="shared" si="1204"/>
        <v>1.3601411279858103E-2</v>
      </c>
      <c r="K2322" s="4">
        <f t="shared" si="1204"/>
        <v>1.3601411279858103E-2</v>
      </c>
      <c r="L2322" s="4">
        <f t="shared" si="1204"/>
        <v>1.3601411279858103E-2</v>
      </c>
      <c r="M2322" s="4">
        <f t="shared" si="1204"/>
        <v>1.3601411279858103E-2</v>
      </c>
      <c r="N2322" t="s">
        <v>288</v>
      </c>
      <c r="O2322" t="s">
        <v>390</v>
      </c>
      <c r="P2322" t="s">
        <v>391</v>
      </c>
      <c r="Q2322" s="4" t="s">
        <v>245</v>
      </c>
    </row>
    <row r="2323" spans="1:17" x14ac:dyDescent="0.25">
      <c r="A2323" t="s">
        <v>391</v>
      </c>
      <c r="B2323" t="s">
        <v>155</v>
      </c>
      <c r="C2323" s="4">
        <f t="shared" ref="C2323:M2323" si="1205">(0.034247449345031/(0.965752550654969+0.034247449345031)) * 1.34983323712398%/(1-C2293)</f>
        <v>4.8233229465659803E-4</v>
      </c>
      <c r="D2323" s="4">
        <f t="shared" si="1205"/>
        <v>4.8233229465659803E-4</v>
      </c>
      <c r="E2323" s="4">
        <f t="shared" si="1205"/>
        <v>4.8233229465659803E-4</v>
      </c>
      <c r="F2323" s="4">
        <f t="shared" si="1205"/>
        <v>4.8233229465659803E-4</v>
      </c>
      <c r="G2323" s="4">
        <f t="shared" si="1205"/>
        <v>4.8233229465659803E-4</v>
      </c>
      <c r="H2323" s="4">
        <f t="shared" si="1205"/>
        <v>4.8233229465659803E-4</v>
      </c>
      <c r="I2323" s="4">
        <f t="shared" si="1205"/>
        <v>4.8233229465659803E-4</v>
      </c>
      <c r="J2323" s="4">
        <f t="shared" si="1205"/>
        <v>4.8233229465659803E-4</v>
      </c>
      <c r="K2323" s="4">
        <f t="shared" si="1205"/>
        <v>4.8233229465659803E-4</v>
      </c>
      <c r="L2323" s="4">
        <f t="shared" si="1205"/>
        <v>4.8233229465659803E-4</v>
      </c>
      <c r="M2323" s="4">
        <f t="shared" si="1205"/>
        <v>4.8233229465659803E-4</v>
      </c>
      <c r="N2323" t="s">
        <v>242</v>
      </c>
      <c r="O2323" t="s">
        <v>289</v>
      </c>
      <c r="P2323" t="s">
        <v>391</v>
      </c>
      <c r="Q2323" s="4" t="s">
        <v>245</v>
      </c>
    </row>
    <row r="2324" spans="1:17" x14ac:dyDescent="0.25">
      <c r="A2324" t="s">
        <v>391</v>
      </c>
      <c r="B2324" t="s">
        <v>156</v>
      </c>
      <c r="C2324" s="4">
        <f t="shared" ref="C2324:M2324" si="1206">(0.965752550654969/(0.965752550654969+0.034247449345031)) * 13.8092409082163%/(1-C2293)</f>
        <v>0.13914694044390288</v>
      </c>
      <c r="D2324" s="4">
        <f t="shared" si="1206"/>
        <v>0.13914694044390288</v>
      </c>
      <c r="E2324" s="4">
        <f t="shared" si="1206"/>
        <v>0.13914694044390288</v>
      </c>
      <c r="F2324" s="4">
        <f t="shared" si="1206"/>
        <v>0.13914694044390288</v>
      </c>
      <c r="G2324" s="4">
        <f t="shared" si="1206"/>
        <v>0.13914694044390288</v>
      </c>
      <c r="H2324" s="4">
        <f t="shared" si="1206"/>
        <v>0.13914694044390288</v>
      </c>
      <c r="I2324" s="4">
        <f t="shared" si="1206"/>
        <v>0.13914694044390288</v>
      </c>
      <c r="J2324" s="4">
        <f t="shared" si="1206"/>
        <v>0.13914694044390288</v>
      </c>
      <c r="K2324" s="4">
        <f t="shared" si="1206"/>
        <v>0.13914694044390288</v>
      </c>
      <c r="L2324" s="4">
        <f t="shared" si="1206"/>
        <v>0.13914694044390288</v>
      </c>
      <c r="M2324" s="4">
        <f t="shared" si="1206"/>
        <v>0.13914694044390288</v>
      </c>
      <c r="N2324" t="s">
        <v>288</v>
      </c>
      <c r="O2324" t="s">
        <v>390</v>
      </c>
      <c r="P2324" t="s">
        <v>391</v>
      </c>
      <c r="Q2324" s="4" t="s">
        <v>245</v>
      </c>
    </row>
    <row r="2325" spans="1:17" x14ac:dyDescent="0.25">
      <c r="A2325" t="s">
        <v>391</v>
      </c>
      <c r="B2325" t="s">
        <v>156</v>
      </c>
      <c r="C2325" s="4">
        <f t="shared" ref="C2325:M2325" si="1207">(0.034247449345031/(0.965752550654969+0.034247449345031)) * 13.8092409082163%/(1-C2293)</f>
        <v>4.9344190612147171E-3</v>
      </c>
      <c r="D2325" s="4">
        <f t="shared" si="1207"/>
        <v>4.9344190612147171E-3</v>
      </c>
      <c r="E2325" s="4">
        <f t="shared" si="1207"/>
        <v>4.9344190612147171E-3</v>
      </c>
      <c r="F2325" s="4">
        <f t="shared" si="1207"/>
        <v>4.9344190612147171E-3</v>
      </c>
      <c r="G2325" s="4">
        <f t="shared" si="1207"/>
        <v>4.9344190612147171E-3</v>
      </c>
      <c r="H2325" s="4">
        <f t="shared" si="1207"/>
        <v>4.9344190612147171E-3</v>
      </c>
      <c r="I2325" s="4">
        <f t="shared" si="1207"/>
        <v>4.9344190612147171E-3</v>
      </c>
      <c r="J2325" s="4">
        <f t="shared" si="1207"/>
        <v>4.9344190612147171E-3</v>
      </c>
      <c r="K2325" s="4">
        <f t="shared" si="1207"/>
        <v>4.9344190612147171E-3</v>
      </c>
      <c r="L2325" s="4">
        <f t="shared" si="1207"/>
        <v>4.9344190612147171E-3</v>
      </c>
      <c r="M2325" s="4">
        <f t="shared" si="1207"/>
        <v>4.9344190612147171E-3</v>
      </c>
      <c r="N2325" t="s">
        <v>242</v>
      </c>
      <c r="O2325" t="s">
        <v>289</v>
      </c>
      <c r="P2325" t="s">
        <v>391</v>
      </c>
      <c r="Q2325" s="4" t="s">
        <v>245</v>
      </c>
    </row>
    <row r="2326" spans="1:17" x14ac:dyDescent="0.25">
      <c r="A2326" t="s">
        <v>391</v>
      </c>
      <c r="B2326" t="s">
        <v>151</v>
      </c>
      <c r="C2326" s="4">
        <f t="shared" ref="C2326:M2326" si="1208">(0.965752550654969/(0.965752550654969+0.034247449345031)) * 0.028782631005067%/(1-C2293)</f>
        <v>2.9002427207262083E-4</v>
      </c>
      <c r="D2326" s="4">
        <f t="shared" si="1208"/>
        <v>2.9002427207262083E-4</v>
      </c>
      <c r="E2326" s="4">
        <f t="shared" si="1208"/>
        <v>2.9002427207262083E-4</v>
      </c>
      <c r="F2326" s="4">
        <f t="shared" si="1208"/>
        <v>2.9002427207262083E-4</v>
      </c>
      <c r="G2326" s="4">
        <f t="shared" si="1208"/>
        <v>2.9002427207262083E-4</v>
      </c>
      <c r="H2326" s="4">
        <f t="shared" si="1208"/>
        <v>2.9002427207262083E-4</v>
      </c>
      <c r="I2326" s="4">
        <f t="shared" si="1208"/>
        <v>2.9002427207262083E-4</v>
      </c>
      <c r="J2326" s="4">
        <f t="shared" si="1208"/>
        <v>2.9002427207262083E-4</v>
      </c>
      <c r="K2326" s="4">
        <f t="shared" si="1208"/>
        <v>2.9002427207262083E-4</v>
      </c>
      <c r="L2326" s="4">
        <f t="shared" si="1208"/>
        <v>2.9002427207262083E-4</v>
      </c>
      <c r="M2326" s="4">
        <f t="shared" si="1208"/>
        <v>2.9002427207262083E-4</v>
      </c>
      <c r="N2326" t="s">
        <v>288</v>
      </c>
      <c r="O2326" t="s">
        <v>390</v>
      </c>
      <c r="P2326" t="s">
        <v>391</v>
      </c>
      <c r="Q2326" s="4" t="s">
        <v>245</v>
      </c>
    </row>
    <row r="2327" spans="1:17" x14ac:dyDescent="0.25">
      <c r="A2327" t="s">
        <v>391</v>
      </c>
      <c r="B2327" t="s">
        <v>151</v>
      </c>
      <c r="C2327" s="4">
        <f t="shared" ref="C2327:M2327" si="1209">(0.034247449345031/(0.965752550654969+0.034247449345031)) * 0.028782631005067%/(1-C2293)</f>
        <v>1.0284820433454028E-5</v>
      </c>
      <c r="D2327" s="4">
        <f t="shared" si="1209"/>
        <v>1.0284820433454028E-5</v>
      </c>
      <c r="E2327" s="4">
        <f t="shared" si="1209"/>
        <v>1.0284820433454028E-5</v>
      </c>
      <c r="F2327" s="4">
        <f t="shared" si="1209"/>
        <v>1.0284820433454028E-5</v>
      </c>
      <c r="G2327" s="4">
        <f t="shared" si="1209"/>
        <v>1.0284820433454028E-5</v>
      </c>
      <c r="H2327" s="4">
        <f t="shared" si="1209"/>
        <v>1.0284820433454028E-5</v>
      </c>
      <c r="I2327" s="4">
        <f t="shared" si="1209"/>
        <v>1.0284820433454028E-5</v>
      </c>
      <c r="J2327" s="4">
        <f t="shared" si="1209"/>
        <v>1.0284820433454028E-5</v>
      </c>
      <c r="K2327" s="4">
        <f t="shared" si="1209"/>
        <v>1.0284820433454028E-5</v>
      </c>
      <c r="L2327" s="4">
        <f t="shared" si="1209"/>
        <v>1.0284820433454028E-5</v>
      </c>
      <c r="M2327" s="4">
        <f t="shared" si="1209"/>
        <v>1.0284820433454028E-5</v>
      </c>
      <c r="N2327" t="s">
        <v>242</v>
      </c>
      <c r="O2327" t="s">
        <v>289</v>
      </c>
      <c r="P2327" t="s">
        <v>391</v>
      </c>
      <c r="Q2327" s="4" t="s">
        <v>245</v>
      </c>
    </row>
    <row r="2328" spans="1:17" x14ac:dyDescent="0.25">
      <c r="A2328" t="s">
        <v>391</v>
      </c>
      <c r="B2328" t="s">
        <v>107</v>
      </c>
      <c r="C2328" s="4">
        <f t="shared" ref="C2328:M2328" si="1210">(0.965752550654969/(0.965752550654969+0.034247449345031)) * 8.73500737605029%/(1-C2293)</f>
        <v>8.8017115438195265E-2</v>
      </c>
      <c r="D2328" s="4">
        <f t="shared" si="1210"/>
        <v>8.8017115438195265E-2</v>
      </c>
      <c r="E2328" s="4">
        <f t="shared" si="1210"/>
        <v>8.8017115438195265E-2</v>
      </c>
      <c r="F2328" s="4">
        <f t="shared" si="1210"/>
        <v>8.8017115438195265E-2</v>
      </c>
      <c r="G2328" s="4">
        <f t="shared" si="1210"/>
        <v>8.8017115438195265E-2</v>
      </c>
      <c r="H2328" s="4">
        <f t="shared" si="1210"/>
        <v>8.8017115438195265E-2</v>
      </c>
      <c r="I2328" s="4">
        <f t="shared" si="1210"/>
        <v>8.8017115438195265E-2</v>
      </c>
      <c r="J2328" s="4">
        <f t="shared" si="1210"/>
        <v>8.8017115438195265E-2</v>
      </c>
      <c r="K2328" s="4">
        <f t="shared" si="1210"/>
        <v>8.8017115438195265E-2</v>
      </c>
      <c r="L2328" s="4">
        <f t="shared" si="1210"/>
        <v>8.8017115438195265E-2</v>
      </c>
      <c r="M2328" s="4">
        <f t="shared" si="1210"/>
        <v>8.8017115438195265E-2</v>
      </c>
      <c r="N2328" t="s">
        <v>288</v>
      </c>
      <c r="O2328" t="s">
        <v>390</v>
      </c>
      <c r="P2328" t="s">
        <v>391</v>
      </c>
      <c r="Q2328" s="4" t="s">
        <v>245</v>
      </c>
    </row>
    <row r="2329" spans="1:17" x14ac:dyDescent="0.25">
      <c r="A2329" t="s">
        <v>391</v>
      </c>
      <c r="B2329" t="s">
        <v>107</v>
      </c>
      <c r="C2329" s="4">
        <f t="shared" ref="C2329:M2329" si="1211">(0.034247449345031/(0.965752550654969+0.034247449345031)) * 8.73500737605029%/(1-C2293)</f>
        <v>3.1212567861415553E-3</v>
      </c>
      <c r="D2329" s="4">
        <f t="shared" si="1211"/>
        <v>3.1212567861415553E-3</v>
      </c>
      <c r="E2329" s="4">
        <f t="shared" si="1211"/>
        <v>3.1212567861415553E-3</v>
      </c>
      <c r="F2329" s="4">
        <f t="shared" si="1211"/>
        <v>3.1212567861415553E-3</v>
      </c>
      <c r="G2329" s="4">
        <f t="shared" si="1211"/>
        <v>3.1212567861415553E-3</v>
      </c>
      <c r="H2329" s="4">
        <f t="shared" si="1211"/>
        <v>3.1212567861415553E-3</v>
      </c>
      <c r="I2329" s="4">
        <f t="shared" si="1211"/>
        <v>3.1212567861415553E-3</v>
      </c>
      <c r="J2329" s="4">
        <f t="shared" si="1211"/>
        <v>3.1212567861415553E-3</v>
      </c>
      <c r="K2329" s="4">
        <f t="shared" si="1211"/>
        <v>3.1212567861415553E-3</v>
      </c>
      <c r="L2329" s="4">
        <f t="shared" si="1211"/>
        <v>3.1212567861415553E-3</v>
      </c>
      <c r="M2329" s="4">
        <f t="shared" si="1211"/>
        <v>3.1212567861415553E-3</v>
      </c>
      <c r="N2329" t="s">
        <v>242</v>
      </c>
      <c r="O2329" t="s">
        <v>289</v>
      </c>
      <c r="P2329" t="s">
        <v>391</v>
      </c>
      <c r="Q2329" s="4" t="s">
        <v>245</v>
      </c>
    </row>
    <row r="2330" spans="1:17" x14ac:dyDescent="0.25">
      <c r="A2330" t="s">
        <v>391</v>
      </c>
      <c r="B2330" t="s">
        <v>137</v>
      </c>
      <c r="C2330" s="4">
        <f t="shared" ref="C2330:M2330" si="1212">(0.965752550654969/(0.965752550654969+0.034247449345031)) * 1.61804887435059%/(1-C2293)</f>
        <v>1.630404971938948E-2</v>
      </c>
      <c r="D2330" s="4">
        <f t="shared" si="1212"/>
        <v>1.630404971938948E-2</v>
      </c>
      <c r="E2330" s="4">
        <f t="shared" si="1212"/>
        <v>1.630404971938948E-2</v>
      </c>
      <c r="F2330" s="4">
        <f t="shared" si="1212"/>
        <v>1.630404971938948E-2</v>
      </c>
      <c r="G2330" s="4">
        <f t="shared" si="1212"/>
        <v>1.630404971938948E-2</v>
      </c>
      <c r="H2330" s="4">
        <f t="shared" si="1212"/>
        <v>1.630404971938948E-2</v>
      </c>
      <c r="I2330" s="4">
        <f t="shared" si="1212"/>
        <v>1.630404971938948E-2</v>
      </c>
      <c r="J2330" s="4">
        <f t="shared" si="1212"/>
        <v>1.630404971938948E-2</v>
      </c>
      <c r="K2330" s="4">
        <f t="shared" si="1212"/>
        <v>1.630404971938948E-2</v>
      </c>
      <c r="L2330" s="4">
        <f t="shared" si="1212"/>
        <v>1.630404971938948E-2</v>
      </c>
      <c r="M2330" s="4">
        <f t="shared" si="1212"/>
        <v>1.630404971938948E-2</v>
      </c>
      <c r="N2330" t="s">
        <v>288</v>
      </c>
      <c r="O2330" t="s">
        <v>390</v>
      </c>
      <c r="P2330" t="s">
        <v>391</v>
      </c>
      <c r="Q2330" s="4" t="s">
        <v>245</v>
      </c>
    </row>
    <row r="2331" spans="1:17" x14ac:dyDescent="0.25">
      <c r="A2331" t="s">
        <v>391</v>
      </c>
      <c r="B2331" t="s">
        <v>137</v>
      </c>
      <c r="C2331" s="4">
        <f t="shared" ref="C2331:M2331" si="1213">(0.034247449345031/(0.965752550654969+0.034247449345031)) * 1.61804887435059%/(1-C2293)</f>
        <v>5.7817306980444702E-4</v>
      </c>
      <c r="D2331" s="4">
        <f t="shared" si="1213"/>
        <v>5.7817306980444702E-4</v>
      </c>
      <c r="E2331" s="4">
        <f t="shared" si="1213"/>
        <v>5.7817306980444702E-4</v>
      </c>
      <c r="F2331" s="4">
        <f t="shared" si="1213"/>
        <v>5.7817306980444702E-4</v>
      </c>
      <c r="G2331" s="4">
        <f t="shared" si="1213"/>
        <v>5.7817306980444702E-4</v>
      </c>
      <c r="H2331" s="4">
        <f t="shared" si="1213"/>
        <v>5.7817306980444702E-4</v>
      </c>
      <c r="I2331" s="4">
        <f t="shared" si="1213"/>
        <v>5.7817306980444702E-4</v>
      </c>
      <c r="J2331" s="4">
        <f t="shared" si="1213"/>
        <v>5.7817306980444702E-4</v>
      </c>
      <c r="K2331" s="4">
        <f t="shared" si="1213"/>
        <v>5.7817306980444702E-4</v>
      </c>
      <c r="L2331" s="4">
        <f t="shared" si="1213"/>
        <v>5.7817306980444702E-4</v>
      </c>
      <c r="M2331" s="4">
        <f t="shared" si="1213"/>
        <v>5.7817306980444702E-4</v>
      </c>
      <c r="N2331" t="s">
        <v>242</v>
      </c>
      <c r="O2331" t="s">
        <v>289</v>
      </c>
      <c r="P2331" t="s">
        <v>391</v>
      </c>
      <c r="Q2331" s="4" t="s">
        <v>245</v>
      </c>
    </row>
    <row r="2332" spans="1:17" x14ac:dyDescent="0.25">
      <c r="A2332" t="s">
        <v>391</v>
      </c>
      <c r="B2332" t="s">
        <v>112</v>
      </c>
      <c r="C2332" s="4">
        <f t="shared" ref="C2332:M2332" si="1214">(0.965752550654969/(0.965752550654969+0.034247449345031)) * 0.520484574433968%/(1-C2293)</f>
        <v>5.2445921221956774E-3</v>
      </c>
      <c r="D2332" s="4">
        <f t="shared" si="1214"/>
        <v>5.2445921221956774E-3</v>
      </c>
      <c r="E2332" s="4">
        <f t="shared" si="1214"/>
        <v>5.2445921221956774E-3</v>
      </c>
      <c r="F2332" s="4">
        <f t="shared" si="1214"/>
        <v>5.2445921221956774E-3</v>
      </c>
      <c r="G2332" s="4">
        <f t="shared" si="1214"/>
        <v>5.2445921221956774E-3</v>
      </c>
      <c r="H2332" s="4">
        <f t="shared" si="1214"/>
        <v>5.2445921221956774E-3</v>
      </c>
      <c r="I2332" s="4">
        <f t="shared" si="1214"/>
        <v>5.2445921221956774E-3</v>
      </c>
      <c r="J2332" s="4">
        <f t="shared" si="1214"/>
        <v>5.2445921221956774E-3</v>
      </c>
      <c r="K2332" s="4">
        <f t="shared" si="1214"/>
        <v>5.2445921221956774E-3</v>
      </c>
      <c r="L2332" s="4">
        <f t="shared" si="1214"/>
        <v>5.2445921221956774E-3</v>
      </c>
      <c r="M2332" s="4">
        <f t="shared" si="1214"/>
        <v>5.2445921221956774E-3</v>
      </c>
      <c r="N2332" t="s">
        <v>288</v>
      </c>
      <c r="O2332" t="s">
        <v>390</v>
      </c>
      <c r="P2332" t="s">
        <v>391</v>
      </c>
      <c r="Q2332" s="4" t="s">
        <v>245</v>
      </c>
    </row>
    <row r="2333" spans="1:17" x14ac:dyDescent="0.25">
      <c r="A2333" t="s">
        <v>391</v>
      </c>
      <c r="B2333" t="s">
        <v>112</v>
      </c>
      <c r="C2333" s="4">
        <f t="shared" ref="C2333:M2333" si="1215">(0.034247449345031/(0.965752550654969+0.034247449345031)) * 0.520484574433968%/(1-C2293)</f>
        <v>1.8598335869621238E-4</v>
      </c>
      <c r="D2333" s="4">
        <f t="shared" si="1215"/>
        <v>1.8598335869621238E-4</v>
      </c>
      <c r="E2333" s="4">
        <f t="shared" si="1215"/>
        <v>1.8598335869621238E-4</v>
      </c>
      <c r="F2333" s="4">
        <f t="shared" si="1215"/>
        <v>1.8598335869621238E-4</v>
      </c>
      <c r="G2333" s="4">
        <f t="shared" si="1215"/>
        <v>1.8598335869621238E-4</v>
      </c>
      <c r="H2333" s="4">
        <f t="shared" si="1215"/>
        <v>1.8598335869621238E-4</v>
      </c>
      <c r="I2333" s="4">
        <f t="shared" si="1215"/>
        <v>1.8598335869621238E-4</v>
      </c>
      <c r="J2333" s="4">
        <f t="shared" si="1215"/>
        <v>1.8598335869621238E-4</v>
      </c>
      <c r="K2333" s="4">
        <f t="shared" si="1215"/>
        <v>1.8598335869621238E-4</v>
      </c>
      <c r="L2333" s="4">
        <f t="shared" si="1215"/>
        <v>1.8598335869621238E-4</v>
      </c>
      <c r="M2333" s="4">
        <f t="shared" si="1215"/>
        <v>1.8598335869621238E-4</v>
      </c>
      <c r="N2333" t="s">
        <v>242</v>
      </c>
      <c r="O2333" t="s">
        <v>289</v>
      </c>
      <c r="P2333" t="s">
        <v>391</v>
      </c>
      <c r="Q2333" s="4" t="s">
        <v>245</v>
      </c>
    </row>
    <row r="2334" spans="1:17" x14ac:dyDescent="0.25">
      <c r="A2334" t="s">
        <v>391</v>
      </c>
      <c r="B2334" t="s">
        <v>113</v>
      </c>
      <c r="C2334" s="4">
        <f t="shared" ref="C2334:M2334" si="1216">(0.965752550654969/(0.965752550654969+0.034247449345031)) * 0.710698479892246%/(1-C2293)</f>
        <v>7.1612567057396789E-3</v>
      </c>
      <c r="D2334" s="4">
        <f t="shared" si="1216"/>
        <v>7.1612567057396789E-3</v>
      </c>
      <c r="E2334" s="4">
        <f t="shared" si="1216"/>
        <v>7.1612567057396789E-3</v>
      </c>
      <c r="F2334" s="4">
        <f t="shared" si="1216"/>
        <v>7.1612567057396789E-3</v>
      </c>
      <c r="G2334" s="4">
        <f t="shared" si="1216"/>
        <v>7.1612567057396789E-3</v>
      </c>
      <c r="H2334" s="4">
        <f t="shared" si="1216"/>
        <v>7.1612567057396789E-3</v>
      </c>
      <c r="I2334" s="4">
        <f t="shared" si="1216"/>
        <v>7.1612567057396789E-3</v>
      </c>
      <c r="J2334" s="4">
        <f t="shared" si="1216"/>
        <v>7.1612567057396789E-3</v>
      </c>
      <c r="K2334" s="4">
        <f t="shared" si="1216"/>
        <v>7.1612567057396789E-3</v>
      </c>
      <c r="L2334" s="4">
        <f t="shared" si="1216"/>
        <v>7.1612567057396789E-3</v>
      </c>
      <c r="M2334" s="4">
        <f t="shared" si="1216"/>
        <v>7.1612567057396789E-3</v>
      </c>
      <c r="N2334" t="s">
        <v>288</v>
      </c>
      <c r="O2334" t="s">
        <v>390</v>
      </c>
      <c r="P2334" t="s">
        <v>391</v>
      </c>
      <c r="Q2334" s="4" t="s">
        <v>245</v>
      </c>
    </row>
    <row r="2335" spans="1:17" x14ac:dyDescent="0.25">
      <c r="A2335" t="s">
        <v>391</v>
      </c>
      <c r="B2335" t="s">
        <v>113</v>
      </c>
      <c r="C2335" s="4">
        <f t="shared" ref="C2335:M2335" si="1217">(0.034247449345031/(0.965752550654969+0.034247449345031)) * 0.710698479892246%/(1-C2293)</f>
        <v>2.5395198398415054E-4</v>
      </c>
      <c r="D2335" s="4">
        <f t="shared" si="1217"/>
        <v>2.5395198398415054E-4</v>
      </c>
      <c r="E2335" s="4">
        <f t="shared" si="1217"/>
        <v>2.5395198398415054E-4</v>
      </c>
      <c r="F2335" s="4">
        <f t="shared" si="1217"/>
        <v>2.5395198398415054E-4</v>
      </c>
      <c r="G2335" s="4">
        <f t="shared" si="1217"/>
        <v>2.5395198398415054E-4</v>
      </c>
      <c r="H2335" s="4">
        <f t="shared" si="1217"/>
        <v>2.5395198398415054E-4</v>
      </c>
      <c r="I2335" s="4">
        <f t="shared" si="1217"/>
        <v>2.5395198398415054E-4</v>
      </c>
      <c r="J2335" s="4">
        <f t="shared" si="1217"/>
        <v>2.5395198398415054E-4</v>
      </c>
      <c r="K2335" s="4">
        <f t="shared" si="1217"/>
        <v>2.5395198398415054E-4</v>
      </c>
      <c r="L2335" s="4">
        <f t="shared" si="1217"/>
        <v>2.5395198398415054E-4</v>
      </c>
      <c r="M2335" s="4">
        <f t="shared" si="1217"/>
        <v>2.5395198398415054E-4</v>
      </c>
      <c r="N2335" t="s">
        <v>242</v>
      </c>
      <c r="O2335" t="s">
        <v>289</v>
      </c>
      <c r="P2335" t="s">
        <v>391</v>
      </c>
      <c r="Q2335" s="4" t="s">
        <v>245</v>
      </c>
    </row>
    <row r="2336" spans="1:17" x14ac:dyDescent="0.25">
      <c r="A2336" t="s">
        <v>391</v>
      </c>
      <c r="B2336" t="s">
        <v>143</v>
      </c>
      <c r="C2336" s="4">
        <f t="shared" ref="C2336:M2336" si="1218">(0.965752550654969/(0.965752550654969+0.034247449345031)) * 0.0694070296966198%/(1-C2293)</f>
        <v>6.9937050789211134E-4</v>
      </c>
      <c r="D2336" s="4">
        <f t="shared" si="1218"/>
        <v>6.9937050789211134E-4</v>
      </c>
      <c r="E2336" s="4">
        <f t="shared" si="1218"/>
        <v>6.9937050789211134E-4</v>
      </c>
      <c r="F2336" s="4">
        <f t="shared" si="1218"/>
        <v>6.9937050789211134E-4</v>
      </c>
      <c r="G2336" s="4">
        <f t="shared" si="1218"/>
        <v>6.9937050789211134E-4</v>
      </c>
      <c r="H2336" s="4">
        <f t="shared" si="1218"/>
        <v>6.9937050789211134E-4</v>
      </c>
      <c r="I2336" s="4">
        <f t="shared" si="1218"/>
        <v>6.9937050789211134E-4</v>
      </c>
      <c r="J2336" s="4">
        <f t="shared" si="1218"/>
        <v>6.9937050789211134E-4</v>
      </c>
      <c r="K2336" s="4">
        <f t="shared" si="1218"/>
        <v>6.9937050789211134E-4</v>
      </c>
      <c r="L2336" s="4">
        <f t="shared" si="1218"/>
        <v>6.9937050789211134E-4</v>
      </c>
      <c r="M2336" s="4">
        <f t="shared" si="1218"/>
        <v>6.9937050789211134E-4</v>
      </c>
      <c r="N2336" t="s">
        <v>288</v>
      </c>
      <c r="O2336" t="s">
        <v>390</v>
      </c>
      <c r="P2336" t="s">
        <v>391</v>
      </c>
      <c r="Q2336" s="4" t="s">
        <v>245</v>
      </c>
    </row>
    <row r="2337" spans="1:17" x14ac:dyDescent="0.25">
      <c r="A2337" t="s">
        <v>391</v>
      </c>
      <c r="B2337" t="s">
        <v>143</v>
      </c>
      <c r="C2337" s="4">
        <f t="shared" ref="C2337:M2337" si="1219">(0.034247449345031/(0.965752550654969+0.034247449345031)) * 0.0694070296966198%/(1-C2293)</f>
        <v>2.4801027992315201E-5</v>
      </c>
      <c r="D2337" s="4">
        <f t="shared" si="1219"/>
        <v>2.4801027992315201E-5</v>
      </c>
      <c r="E2337" s="4">
        <f t="shared" si="1219"/>
        <v>2.4801027992315201E-5</v>
      </c>
      <c r="F2337" s="4">
        <f t="shared" si="1219"/>
        <v>2.4801027992315201E-5</v>
      </c>
      <c r="G2337" s="4">
        <f t="shared" si="1219"/>
        <v>2.4801027992315201E-5</v>
      </c>
      <c r="H2337" s="4">
        <f t="shared" si="1219"/>
        <v>2.4801027992315201E-5</v>
      </c>
      <c r="I2337" s="4">
        <f t="shared" si="1219"/>
        <v>2.4801027992315201E-5</v>
      </c>
      <c r="J2337" s="4">
        <f t="shared" si="1219"/>
        <v>2.4801027992315201E-5</v>
      </c>
      <c r="K2337" s="4">
        <f t="shared" si="1219"/>
        <v>2.4801027992315201E-5</v>
      </c>
      <c r="L2337" s="4">
        <f t="shared" si="1219"/>
        <v>2.4801027992315201E-5</v>
      </c>
      <c r="M2337" s="4">
        <f t="shared" si="1219"/>
        <v>2.4801027992315201E-5</v>
      </c>
      <c r="N2337" t="s">
        <v>242</v>
      </c>
      <c r="O2337" t="s">
        <v>289</v>
      </c>
      <c r="P2337" t="s">
        <v>391</v>
      </c>
      <c r="Q2337" s="4" t="s">
        <v>245</v>
      </c>
    </row>
    <row r="2338" spans="1:17" x14ac:dyDescent="0.25">
      <c r="A2338" t="s">
        <v>391</v>
      </c>
      <c r="B2338" t="s">
        <v>158</v>
      </c>
      <c r="C2338" s="4">
        <f t="shared" ref="C2338:M2338" si="1220">(0.965752550654969/(0.965752550654969+0.034247449345031)) * 0.650816175998974%/(1-C2293)</f>
        <v>6.5578608037590615E-3</v>
      </c>
      <c r="D2338" s="4">
        <f t="shared" si="1220"/>
        <v>6.5578608037590615E-3</v>
      </c>
      <c r="E2338" s="4">
        <f t="shared" si="1220"/>
        <v>6.5578608037590615E-3</v>
      </c>
      <c r="F2338" s="4">
        <f t="shared" si="1220"/>
        <v>6.5578608037590615E-3</v>
      </c>
      <c r="G2338" s="4">
        <f t="shared" si="1220"/>
        <v>6.5578608037590615E-3</v>
      </c>
      <c r="H2338" s="4">
        <f t="shared" si="1220"/>
        <v>6.5578608037590615E-3</v>
      </c>
      <c r="I2338" s="4">
        <f t="shared" si="1220"/>
        <v>6.5578608037590615E-3</v>
      </c>
      <c r="J2338" s="4">
        <f t="shared" si="1220"/>
        <v>6.5578608037590615E-3</v>
      </c>
      <c r="K2338" s="4">
        <f t="shared" si="1220"/>
        <v>6.5578608037590615E-3</v>
      </c>
      <c r="L2338" s="4">
        <f t="shared" si="1220"/>
        <v>6.5578608037590615E-3</v>
      </c>
      <c r="M2338" s="4">
        <f t="shared" si="1220"/>
        <v>6.5578608037590615E-3</v>
      </c>
      <c r="N2338" t="s">
        <v>288</v>
      </c>
      <c r="O2338" t="s">
        <v>390</v>
      </c>
      <c r="P2338" t="s">
        <v>391</v>
      </c>
      <c r="Q2338" s="4" t="s">
        <v>245</v>
      </c>
    </row>
    <row r="2339" spans="1:17" x14ac:dyDescent="0.25">
      <c r="A2339" t="s">
        <v>391</v>
      </c>
      <c r="B2339" t="s">
        <v>158</v>
      </c>
      <c r="C2339" s="4">
        <f t="shared" ref="C2339:M2339" si="1221">(0.034247449345031/(0.965752550654969+0.034247449345031)) * 0.650816175998974%/(1-C2293)</f>
        <v>2.3255440074808692E-4</v>
      </c>
      <c r="D2339" s="4">
        <f t="shared" si="1221"/>
        <v>2.3255440074808692E-4</v>
      </c>
      <c r="E2339" s="4">
        <f t="shared" si="1221"/>
        <v>2.3255440074808692E-4</v>
      </c>
      <c r="F2339" s="4">
        <f t="shared" si="1221"/>
        <v>2.3255440074808692E-4</v>
      </c>
      <c r="G2339" s="4">
        <f t="shared" si="1221"/>
        <v>2.3255440074808692E-4</v>
      </c>
      <c r="H2339" s="4">
        <f t="shared" si="1221"/>
        <v>2.3255440074808692E-4</v>
      </c>
      <c r="I2339" s="4">
        <f t="shared" si="1221"/>
        <v>2.3255440074808692E-4</v>
      </c>
      <c r="J2339" s="4">
        <f t="shared" si="1221"/>
        <v>2.3255440074808692E-4</v>
      </c>
      <c r="K2339" s="4">
        <f t="shared" si="1221"/>
        <v>2.3255440074808692E-4</v>
      </c>
      <c r="L2339" s="4">
        <f t="shared" si="1221"/>
        <v>2.3255440074808692E-4</v>
      </c>
      <c r="M2339" s="4">
        <f t="shared" si="1221"/>
        <v>2.3255440074808692E-4</v>
      </c>
      <c r="N2339" t="s">
        <v>242</v>
      </c>
      <c r="O2339" t="s">
        <v>289</v>
      </c>
      <c r="P2339" t="s">
        <v>391</v>
      </c>
      <c r="Q2339" s="4" t="s">
        <v>245</v>
      </c>
    </row>
    <row r="2340" spans="1:17" x14ac:dyDescent="0.25">
      <c r="A2340" t="s">
        <v>384</v>
      </c>
      <c r="B2340" t="s">
        <v>83</v>
      </c>
      <c r="C2340" s="4">
        <v>4.492378490050325E-2</v>
      </c>
      <c r="D2340" s="4">
        <v>4.492378490050325E-2</v>
      </c>
      <c r="E2340" s="4">
        <v>4.492378490050325E-2</v>
      </c>
      <c r="F2340" s="4">
        <v>4.492378490050325E-2</v>
      </c>
      <c r="G2340" s="4">
        <v>4.492378490050325E-2</v>
      </c>
      <c r="H2340" s="4">
        <v>4.492378490050325E-2</v>
      </c>
      <c r="I2340" s="4">
        <v>4.492378490050325E-2</v>
      </c>
      <c r="J2340" s="4">
        <v>4.492378490050325E-2</v>
      </c>
      <c r="K2340" s="4">
        <v>4.492378490050325E-2</v>
      </c>
      <c r="L2340" s="4">
        <v>4.492378490050325E-2</v>
      </c>
      <c r="M2340" s="4">
        <v>4.492378490050325E-2</v>
      </c>
      <c r="N2340" t="s">
        <v>242</v>
      </c>
      <c r="O2340" t="s">
        <v>386</v>
      </c>
      <c r="P2340" t="s">
        <v>384</v>
      </c>
      <c r="Q2340" s="4" t="s">
        <v>245</v>
      </c>
    </row>
    <row r="2341" spans="1:17" x14ac:dyDescent="0.25">
      <c r="A2341" t="s">
        <v>384</v>
      </c>
      <c r="B2341" t="s">
        <v>181</v>
      </c>
      <c r="C2341" s="4">
        <v>2.8889522257272089E-4</v>
      </c>
      <c r="D2341" s="4">
        <v>2.8889522257272089E-4</v>
      </c>
      <c r="E2341" s="4">
        <v>2.8889522257272089E-4</v>
      </c>
      <c r="F2341" s="4">
        <v>2.8889522257272089E-4</v>
      </c>
      <c r="G2341" s="4">
        <v>2.8889522257272089E-4</v>
      </c>
      <c r="H2341" s="4">
        <v>2.8889522257272089E-4</v>
      </c>
      <c r="I2341" s="4">
        <v>2.8889522257272089E-4</v>
      </c>
      <c r="J2341" s="4">
        <v>2.8889522257272089E-4</v>
      </c>
      <c r="K2341" s="4">
        <v>2.8889522257272089E-4</v>
      </c>
      <c r="L2341" s="4">
        <v>2.8889522257272089E-4</v>
      </c>
      <c r="M2341" s="4">
        <v>2.8889522257272089E-4</v>
      </c>
      <c r="N2341" t="s">
        <v>242</v>
      </c>
      <c r="O2341" t="s">
        <v>386</v>
      </c>
      <c r="P2341" t="s">
        <v>384</v>
      </c>
      <c r="Q2341" s="4" t="s">
        <v>245</v>
      </c>
    </row>
    <row r="2342" spans="1:17" x14ac:dyDescent="0.25">
      <c r="A2342" t="s">
        <v>384</v>
      </c>
      <c r="B2342" t="s">
        <v>85</v>
      </c>
      <c r="C2342" s="4">
        <v>2.5208171706773991E-2</v>
      </c>
      <c r="D2342" s="4">
        <v>2.5208171706773991E-2</v>
      </c>
      <c r="E2342" s="4">
        <v>2.5208171706773991E-2</v>
      </c>
      <c r="F2342" s="4">
        <v>2.5208171706773991E-2</v>
      </c>
      <c r="G2342" s="4">
        <v>2.5208171706773991E-2</v>
      </c>
      <c r="H2342" s="4">
        <v>2.5208171706773991E-2</v>
      </c>
      <c r="I2342" s="4">
        <v>2.5208171706773991E-2</v>
      </c>
      <c r="J2342" s="4">
        <v>2.5208171706773991E-2</v>
      </c>
      <c r="K2342" s="4">
        <v>2.5208171706773991E-2</v>
      </c>
      <c r="L2342" s="4">
        <v>2.5208171706773991E-2</v>
      </c>
      <c r="M2342" s="4">
        <v>2.5208171706773991E-2</v>
      </c>
      <c r="N2342" t="s">
        <v>242</v>
      </c>
      <c r="O2342" t="s">
        <v>386</v>
      </c>
      <c r="P2342" t="s">
        <v>384</v>
      </c>
      <c r="Q2342" s="4" t="s">
        <v>245</v>
      </c>
    </row>
    <row r="2343" spans="1:17" x14ac:dyDescent="0.25">
      <c r="A2343" t="s">
        <v>384</v>
      </c>
      <c r="B2343" t="s">
        <v>116</v>
      </c>
      <c r="C2343" s="4">
        <v>5.4473175211898463E-2</v>
      </c>
      <c r="D2343" s="4">
        <v>5.4473175211898463E-2</v>
      </c>
      <c r="E2343" s="4">
        <v>5.4473175211898463E-2</v>
      </c>
      <c r="F2343" s="4">
        <v>5.4473175211898463E-2</v>
      </c>
      <c r="G2343" s="4">
        <v>5.4473175211898463E-2</v>
      </c>
      <c r="H2343" s="4">
        <v>5.4473175211898463E-2</v>
      </c>
      <c r="I2343" s="4">
        <v>5.4473175211898463E-2</v>
      </c>
      <c r="J2343" s="4">
        <v>5.4473175211898463E-2</v>
      </c>
      <c r="K2343" s="4">
        <v>5.4473175211898463E-2</v>
      </c>
      <c r="L2343" s="4">
        <v>5.4473175211898463E-2</v>
      </c>
      <c r="M2343" s="4">
        <v>5.4473175211898463E-2</v>
      </c>
      <c r="N2343" t="s">
        <v>242</v>
      </c>
      <c r="O2343" t="s">
        <v>386</v>
      </c>
      <c r="P2343" t="s">
        <v>384</v>
      </c>
      <c r="Q2343" s="4" t="s">
        <v>245</v>
      </c>
    </row>
    <row r="2344" spans="1:17" x14ac:dyDescent="0.25">
      <c r="A2344" t="s">
        <v>384</v>
      </c>
      <c r="B2344" t="s">
        <v>86</v>
      </c>
      <c r="C2344" s="4">
        <v>0.29673666432826618</v>
      </c>
      <c r="D2344" s="4">
        <v>0.29673666432826618</v>
      </c>
      <c r="E2344" s="4">
        <v>0.29673666432826618</v>
      </c>
      <c r="F2344" s="4">
        <v>0.29673666432826618</v>
      </c>
      <c r="G2344" s="4">
        <v>0.29673666432826618</v>
      </c>
      <c r="H2344" s="4">
        <v>0.29673666432826618</v>
      </c>
      <c r="I2344" s="4">
        <v>0.29673666432826618</v>
      </c>
      <c r="J2344" s="4">
        <v>0.29673666432826618</v>
      </c>
      <c r="K2344" s="4">
        <v>0.29673666432826618</v>
      </c>
      <c r="L2344" s="4">
        <v>0.29673666432826618</v>
      </c>
      <c r="M2344" s="4">
        <v>0.29673666432826618</v>
      </c>
      <c r="N2344" t="s">
        <v>254</v>
      </c>
      <c r="O2344" t="s">
        <v>385</v>
      </c>
      <c r="P2344" t="s">
        <v>384</v>
      </c>
      <c r="Q2344" s="4" t="s">
        <v>245</v>
      </c>
    </row>
    <row r="2345" spans="1:17" x14ac:dyDescent="0.25">
      <c r="A2345" t="s">
        <v>384</v>
      </c>
      <c r="B2345" t="s">
        <v>87</v>
      </c>
      <c r="C2345" s="4">
        <v>1.6394886422494079E-2</v>
      </c>
      <c r="D2345" s="4">
        <v>1.6394886422494079E-2</v>
      </c>
      <c r="E2345" s="4">
        <v>1.6394886422494079E-2</v>
      </c>
      <c r="F2345" s="4">
        <v>1.6394886422494079E-2</v>
      </c>
      <c r="G2345" s="4">
        <v>1.6394886422494079E-2</v>
      </c>
      <c r="H2345" s="4">
        <v>1.6394886422494079E-2</v>
      </c>
      <c r="I2345" s="4">
        <v>1.6394886422494079E-2</v>
      </c>
      <c r="J2345" s="4">
        <v>1.6394886422494079E-2</v>
      </c>
      <c r="K2345" s="4">
        <v>1.6394886422494079E-2</v>
      </c>
      <c r="L2345" s="4">
        <v>1.6394886422494079E-2</v>
      </c>
      <c r="M2345" s="4">
        <v>1.6394886422494079E-2</v>
      </c>
      <c r="N2345" t="s">
        <v>242</v>
      </c>
      <c r="O2345" t="s">
        <v>386</v>
      </c>
      <c r="P2345" t="s">
        <v>384</v>
      </c>
      <c r="Q2345" s="4" t="s">
        <v>245</v>
      </c>
    </row>
    <row r="2346" spans="1:17" x14ac:dyDescent="0.25">
      <c r="A2346" t="s">
        <v>384</v>
      </c>
      <c r="B2346" t="s">
        <v>160</v>
      </c>
      <c r="C2346" s="4">
        <v>6.0420372263780484E-3</v>
      </c>
      <c r="D2346" s="4">
        <v>6.0420372263780484E-3</v>
      </c>
      <c r="E2346" s="4">
        <v>6.0420372263780484E-3</v>
      </c>
      <c r="F2346" s="4">
        <v>6.0420372263780484E-3</v>
      </c>
      <c r="G2346" s="4">
        <v>6.0420372263780484E-3</v>
      </c>
      <c r="H2346" s="4">
        <v>6.0420372263780484E-3</v>
      </c>
      <c r="I2346" s="4">
        <v>6.0420372263780484E-3</v>
      </c>
      <c r="J2346" s="4">
        <v>6.0420372263780484E-3</v>
      </c>
      <c r="K2346" s="4">
        <v>6.0420372263780484E-3</v>
      </c>
      <c r="L2346" s="4">
        <v>6.0420372263780484E-3</v>
      </c>
      <c r="M2346" s="4">
        <v>6.0420372263780484E-3</v>
      </c>
      <c r="N2346" t="s">
        <v>242</v>
      </c>
      <c r="O2346" t="s">
        <v>386</v>
      </c>
      <c r="P2346" t="s">
        <v>384</v>
      </c>
      <c r="Q2346" s="4" t="s">
        <v>245</v>
      </c>
    </row>
    <row r="2347" spans="1:17" x14ac:dyDescent="0.25">
      <c r="A2347" t="s">
        <v>384</v>
      </c>
      <c r="B2347" t="s">
        <v>166</v>
      </c>
      <c r="C2347" s="4">
        <v>1.873691872114504E-5</v>
      </c>
      <c r="D2347" s="4">
        <v>1.873691872114504E-5</v>
      </c>
      <c r="E2347" s="4">
        <v>1.873691872114504E-5</v>
      </c>
      <c r="F2347" s="4">
        <v>1.873691872114504E-5</v>
      </c>
      <c r="G2347" s="4">
        <v>1.873691872114504E-5</v>
      </c>
      <c r="H2347" s="4">
        <v>1.873691872114504E-5</v>
      </c>
      <c r="I2347" s="4">
        <v>1.873691872114504E-5</v>
      </c>
      <c r="J2347" s="4">
        <v>1.873691872114504E-5</v>
      </c>
      <c r="K2347" s="4">
        <v>1.873691872114504E-5</v>
      </c>
      <c r="L2347" s="4">
        <v>1.873691872114504E-5</v>
      </c>
      <c r="M2347" s="4">
        <v>1.873691872114504E-5</v>
      </c>
      <c r="N2347" t="s">
        <v>242</v>
      </c>
      <c r="O2347" t="s">
        <v>386</v>
      </c>
      <c r="P2347" t="s">
        <v>384</v>
      </c>
      <c r="Q2347" s="4" t="s">
        <v>245</v>
      </c>
    </row>
    <row r="2348" spans="1:17" x14ac:dyDescent="0.25">
      <c r="A2348" t="s">
        <v>384</v>
      </c>
      <c r="B2348" t="s">
        <v>89</v>
      </c>
      <c r="C2348" s="4">
        <v>8.9947940255477466E-3</v>
      </c>
      <c r="D2348" s="4">
        <v>8.9947940255477466E-3</v>
      </c>
      <c r="E2348" s="4">
        <v>8.9947940255477466E-3</v>
      </c>
      <c r="F2348" s="4">
        <v>8.9947940255477466E-3</v>
      </c>
      <c r="G2348" s="4">
        <v>8.9947940255477466E-3</v>
      </c>
      <c r="H2348" s="4">
        <v>8.9947940255477466E-3</v>
      </c>
      <c r="I2348" s="4">
        <v>8.9947940255477466E-3</v>
      </c>
      <c r="J2348" s="4">
        <v>8.9947940255477466E-3</v>
      </c>
      <c r="K2348" s="4">
        <v>8.9947940255477466E-3</v>
      </c>
      <c r="L2348" s="4">
        <v>8.9947940255477466E-3</v>
      </c>
      <c r="M2348" s="4">
        <v>8.9947940255477466E-3</v>
      </c>
      <c r="N2348" t="s">
        <v>242</v>
      </c>
      <c r="O2348" t="s">
        <v>386</v>
      </c>
      <c r="P2348" t="s">
        <v>384</v>
      </c>
      <c r="Q2348" s="4" t="s">
        <v>245</v>
      </c>
    </row>
    <row r="2349" spans="1:17" x14ac:dyDescent="0.25">
      <c r="A2349" t="s">
        <v>384</v>
      </c>
      <c r="B2349" t="s">
        <v>154</v>
      </c>
      <c r="C2349" s="4">
        <v>3.5275344798511681E-2</v>
      </c>
      <c r="D2349" s="4">
        <v>3.5275344798511681E-2</v>
      </c>
      <c r="E2349" s="4">
        <v>3.5275344798511681E-2</v>
      </c>
      <c r="F2349" s="4">
        <v>3.5275344798511681E-2</v>
      </c>
      <c r="G2349" s="4">
        <v>3.5275344798511681E-2</v>
      </c>
      <c r="H2349" s="4">
        <v>3.5275344798511681E-2</v>
      </c>
      <c r="I2349" s="4">
        <v>3.5275344798511681E-2</v>
      </c>
      <c r="J2349" s="4">
        <v>3.5275344798511681E-2</v>
      </c>
      <c r="K2349" s="4">
        <v>3.5275344798511681E-2</v>
      </c>
      <c r="L2349" s="4">
        <v>3.5275344798511681E-2</v>
      </c>
      <c r="M2349" s="4">
        <v>3.5275344798511681E-2</v>
      </c>
      <c r="N2349" t="s">
        <v>242</v>
      </c>
      <c r="O2349" t="s">
        <v>386</v>
      </c>
      <c r="P2349" t="s">
        <v>384</v>
      </c>
      <c r="Q2349" s="4" t="s">
        <v>245</v>
      </c>
    </row>
    <row r="2350" spans="1:17" x14ac:dyDescent="0.25">
      <c r="A2350" t="s">
        <v>384</v>
      </c>
      <c r="B2350" t="s">
        <v>91</v>
      </c>
      <c r="C2350" s="4">
        <v>2.3524325266635841E-3</v>
      </c>
      <c r="D2350" s="4">
        <v>2.3524325266635841E-3</v>
      </c>
      <c r="E2350" s="4">
        <v>2.3524325266635841E-3</v>
      </c>
      <c r="F2350" s="4">
        <v>2.3524325266635841E-3</v>
      </c>
      <c r="G2350" s="4">
        <v>2.3524325266635841E-3</v>
      </c>
      <c r="H2350" s="4">
        <v>2.3524325266635841E-3</v>
      </c>
      <c r="I2350" s="4">
        <v>2.3524325266635841E-3</v>
      </c>
      <c r="J2350" s="4">
        <v>2.3524325266635841E-3</v>
      </c>
      <c r="K2350" s="4">
        <v>2.3524325266635841E-3</v>
      </c>
      <c r="L2350" s="4">
        <v>2.3524325266635841E-3</v>
      </c>
      <c r="M2350" s="4">
        <v>2.3524325266635841E-3</v>
      </c>
      <c r="N2350" t="s">
        <v>242</v>
      </c>
      <c r="O2350" t="s">
        <v>386</v>
      </c>
      <c r="P2350" t="s">
        <v>384</v>
      </c>
      <c r="Q2350" s="4" t="s">
        <v>245</v>
      </c>
    </row>
    <row r="2351" spans="1:17" x14ac:dyDescent="0.25">
      <c r="A2351" t="s">
        <v>384</v>
      </c>
      <c r="B2351" t="s">
        <v>93</v>
      </c>
      <c r="C2351" s="4">
        <v>4.5040416028930474E-3</v>
      </c>
      <c r="D2351" s="4">
        <v>4.5040416028930474E-3</v>
      </c>
      <c r="E2351" s="4">
        <v>4.5040416028930474E-3</v>
      </c>
      <c r="F2351" s="4">
        <v>4.5040416028930474E-3</v>
      </c>
      <c r="G2351" s="4">
        <v>4.5040416028930474E-3</v>
      </c>
      <c r="H2351" s="4">
        <v>4.5040416028930474E-3</v>
      </c>
      <c r="I2351" s="4">
        <v>4.5040416028930474E-3</v>
      </c>
      <c r="J2351" s="4">
        <v>4.5040416028930474E-3</v>
      </c>
      <c r="K2351" s="4">
        <v>4.5040416028930474E-3</v>
      </c>
      <c r="L2351" s="4">
        <v>4.5040416028930474E-3</v>
      </c>
      <c r="M2351" s="4">
        <v>4.5040416028930474E-3</v>
      </c>
      <c r="N2351" t="s">
        <v>242</v>
      </c>
      <c r="O2351" t="s">
        <v>386</v>
      </c>
      <c r="P2351" t="s">
        <v>384</v>
      </c>
      <c r="Q2351" s="4" t="s">
        <v>245</v>
      </c>
    </row>
    <row r="2352" spans="1:17" x14ac:dyDescent="0.25">
      <c r="A2352" t="s">
        <v>384</v>
      </c>
      <c r="B2352" t="s">
        <v>196</v>
      </c>
      <c r="C2352" s="4">
        <v>7.4469759644952716E-3</v>
      </c>
      <c r="D2352" s="4">
        <v>7.4469759644952716E-3</v>
      </c>
      <c r="E2352" s="4">
        <v>7.4469759644952716E-3</v>
      </c>
      <c r="F2352" s="4">
        <v>7.4469759644952716E-3</v>
      </c>
      <c r="G2352" s="4">
        <v>7.4469759644952716E-3</v>
      </c>
      <c r="H2352" s="4">
        <v>7.4469759644952716E-3</v>
      </c>
      <c r="I2352" s="4">
        <v>7.4469759644952716E-3</v>
      </c>
      <c r="J2352" s="4">
        <v>7.4469759644952716E-3</v>
      </c>
      <c r="K2352" s="4">
        <v>7.4469759644952716E-3</v>
      </c>
      <c r="L2352" s="4">
        <v>7.4469759644952716E-3</v>
      </c>
      <c r="M2352" s="4">
        <v>7.4469759644952716E-3</v>
      </c>
      <c r="N2352" t="s">
        <v>242</v>
      </c>
      <c r="O2352" t="s">
        <v>386</v>
      </c>
      <c r="P2352" t="s">
        <v>384</v>
      </c>
      <c r="Q2352" s="4" t="s">
        <v>245</v>
      </c>
    </row>
    <row r="2353" spans="1:17" x14ac:dyDescent="0.25">
      <c r="A2353" t="s">
        <v>384</v>
      </c>
      <c r="B2353" t="s">
        <v>97</v>
      </c>
      <c r="C2353" s="4">
        <v>2.063537304090864E-5</v>
      </c>
      <c r="D2353" s="4">
        <v>2.063537304090864E-5</v>
      </c>
      <c r="E2353" s="4">
        <v>2.063537304090864E-5</v>
      </c>
      <c r="F2353" s="4">
        <v>2.063537304090864E-5</v>
      </c>
      <c r="G2353" s="4">
        <v>2.063537304090864E-5</v>
      </c>
      <c r="H2353" s="4">
        <v>2.063537304090864E-5</v>
      </c>
      <c r="I2353" s="4">
        <v>2.063537304090864E-5</v>
      </c>
      <c r="J2353" s="4">
        <v>2.063537304090864E-5</v>
      </c>
      <c r="K2353" s="4">
        <v>2.063537304090864E-5</v>
      </c>
      <c r="L2353" s="4">
        <v>2.063537304090864E-5</v>
      </c>
      <c r="M2353" s="4">
        <v>2.063537304090864E-5</v>
      </c>
      <c r="N2353" t="s">
        <v>242</v>
      </c>
      <c r="O2353" t="s">
        <v>386</v>
      </c>
      <c r="P2353" t="s">
        <v>384</v>
      </c>
      <c r="Q2353" s="4" t="s">
        <v>245</v>
      </c>
    </row>
    <row r="2354" spans="1:17" x14ac:dyDescent="0.25">
      <c r="A2354" t="s">
        <v>384</v>
      </c>
      <c r="B2354" t="s">
        <v>98</v>
      </c>
      <c r="C2354" s="4">
        <v>0.19878467557768109</v>
      </c>
      <c r="D2354" s="4">
        <v>0.19878467557768109</v>
      </c>
      <c r="E2354" s="4">
        <v>0.19878467557768109</v>
      </c>
      <c r="F2354" s="4">
        <v>0.19878467557768109</v>
      </c>
      <c r="G2354" s="4">
        <v>0.19878467557768109</v>
      </c>
      <c r="H2354" s="4">
        <v>0.19878467557768109</v>
      </c>
      <c r="I2354" s="4">
        <v>0.19878467557768109</v>
      </c>
      <c r="J2354" s="4">
        <v>0.19878467557768109</v>
      </c>
      <c r="K2354" s="4">
        <v>0.19878467557768109</v>
      </c>
      <c r="L2354" s="4">
        <v>0.19878467557768109</v>
      </c>
      <c r="M2354" s="4">
        <v>0.19878467557768109</v>
      </c>
      <c r="N2354" t="s">
        <v>242</v>
      </c>
      <c r="O2354" t="s">
        <v>386</v>
      </c>
      <c r="P2354" t="s">
        <v>384</v>
      </c>
      <c r="Q2354" s="4" t="s">
        <v>245</v>
      </c>
    </row>
    <row r="2355" spans="1:17" x14ac:dyDescent="0.25">
      <c r="A2355" t="s">
        <v>384</v>
      </c>
      <c r="B2355" t="s">
        <v>119</v>
      </c>
      <c r="C2355" s="4">
        <v>7.4879082904592192E-2</v>
      </c>
      <c r="D2355" s="4">
        <v>7.4879082904592192E-2</v>
      </c>
      <c r="E2355" s="4">
        <v>7.4879082904592192E-2</v>
      </c>
      <c r="F2355" s="4">
        <v>7.4879082904592192E-2</v>
      </c>
      <c r="G2355" s="4">
        <v>7.4879082904592192E-2</v>
      </c>
      <c r="H2355" s="4">
        <v>7.4879082904592192E-2</v>
      </c>
      <c r="I2355" s="4">
        <v>7.4879082904592192E-2</v>
      </c>
      <c r="J2355" s="4">
        <v>7.4879082904592192E-2</v>
      </c>
      <c r="K2355" s="4">
        <v>7.4879082904592192E-2</v>
      </c>
      <c r="L2355" s="4">
        <v>7.4879082904592192E-2</v>
      </c>
      <c r="M2355" s="4">
        <v>7.4879082904592192E-2</v>
      </c>
      <c r="N2355" t="s">
        <v>242</v>
      </c>
      <c r="O2355" t="s">
        <v>386</v>
      </c>
      <c r="P2355" t="s">
        <v>384</v>
      </c>
      <c r="Q2355" s="4" t="s">
        <v>245</v>
      </c>
    </row>
    <row r="2356" spans="1:17" x14ac:dyDescent="0.25">
      <c r="A2356" t="s">
        <v>384</v>
      </c>
      <c r="B2356" t="s">
        <v>148</v>
      </c>
      <c r="C2356" s="4">
        <v>1.8259333647486251E-2</v>
      </c>
      <c r="D2356" s="4">
        <v>1.8259333647486251E-2</v>
      </c>
      <c r="E2356" s="4">
        <v>1.8259333647486251E-2</v>
      </c>
      <c r="F2356" s="4">
        <v>1.8259333647486251E-2</v>
      </c>
      <c r="G2356" s="4">
        <v>1.8259333647486251E-2</v>
      </c>
      <c r="H2356" s="4">
        <v>1.8259333647486251E-2</v>
      </c>
      <c r="I2356" s="4">
        <v>1.8259333647486251E-2</v>
      </c>
      <c r="J2356" s="4">
        <v>1.8259333647486251E-2</v>
      </c>
      <c r="K2356" s="4">
        <v>1.8259333647486251E-2</v>
      </c>
      <c r="L2356" s="4">
        <v>1.8259333647486251E-2</v>
      </c>
      <c r="M2356" s="4">
        <v>1.8259333647486251E-2</v>
      </c>
      <c r="N2356" t="s">
        <v>242</v>
      </c>
      <c r="O2356" t="s">
        <v>386</v>
      </c>
      <c r="P2356" t="s">
        <v>384</v>
      </c>
      <c r="Q2356" s="4" t="s">
        <v>245</v>
      </c>
    </row>
    <row r="2357" spans="1:17" x14ac:dyDescent="0.25">
      <c r="A2357" t="s">
        <v>384</v>
      </c>
      <c r="B2357" t="s">
        <v>230</v>
      </c>
      <c r="C2357" s="4">
        <v>2.6660901968853959E-3</v>
      </c>
      <c r="D2357" s="4">
        <v>2.6660901968853959E-3</v>
      </c>
      <c r="E2357" s="4">
        <v>2.6660901968853959E-3</v>
      </c>
      <c r="F2357" s="4">
        <v>2.6660901968853959E-3</v>
      </c>
      <c r="G2357" s="4">
        <v>2.6660901968853959E-3</v>
      </c>
      <c r="H2357" s="4">
        <v>2.6660901968853959E-3</v>
      </c>
      <c r="I2357" s="4">
        <v>2.6660901968853959E-3</v>
      </c>
      <c r="J2357" s="4">
        <v>2.6660901968853959E-3</v>
      </c>
      <c r="K2357" s="4">
        <v>2.6660901968853959E-3</v>
      </c>
      <c r="L2357" s="4">
        <v>2.6660901968853959E-3</v>
      </c>
      <c r="M2357" s="4">
        <v>2.6660901968853959E-3</v>
      </c>
      <c r="N2357" t="s">
        <v>242</v>
      </c>
      <c r="O2357" t="s">
        <v>386</v>
      </c>
      <c r="P2357" t="s">
        <v>384</v>
      </c>
      <c r="Q2357" s="4" t="s">
        <v>245</v>
      </c>
    </row>
    <row r="2358" spans="1:17" x14ac:dyDescent="0.25">
      <c r="A2358" t="s">
        <v>384</v>
      </c>
      <c r="B2358" t="s">
        <v>141</v>
      </c>
      <c r="C2358" s="4">
        <v>1.168671970948036E-2</v>
      </c>
      <c r="D2358" s="4">
        <v>1.168671970948036E-2</v>
      </c>
      <c r="E2358" s="4">
        <v>1.168671970948036E-2</v>
      </c>
      <c r="F2358" s="4">
        <v>1.168671970948036E-2</v>
      </c>
      <c r="G2358" s="4">
        <v>1.168671970948036E-2</v>
      </c>
      <c r="H2358" s="4">
        <v>1.168671970948036E-2</v>
      </c>
      <c r="I2358" s="4">
        <v>1.168671970948036E-2</v>
      </c>
      <c r="J2358" s="4">
        <v>1.168671970948036E-2</v>
      </c>
      <c r="K2358" s="4">
        <v>1.168671970948036E-2</v>
      </c>
      <c r="L2358" s="4">
        <v>1.168671970948036E-2</v>
      </c>
      <c r="M2358" s="4">
        <v>1.168671970948036E-2</v>
      </c>
      <c r="N2358" t="s">
        <v>242</v>
      </c>
      <c r="O2358" t="s">
        <v>386</v>
      </c>
      <c r="P2358" t="s">
        <v>384</v>
      </c>
      <c r="Q2358" s="4" t="s">
        <v>245</v>
      </c>
    </row>
    <row r="2359" spans="1:17" x14ac:dyDescent="0.25">
      <c r="A2359" t="s">
        <v>384</v>
      </c>
      <c r="B2359" t="s">
        <v>161</v>
      </c>
      <c r="C2359" s="4">
        <v>8.2541492163634552E-6</v>
      </c>
      <c r="D2359" s="4">
        <v>8.2541492163634552E-6</v>
      </c>
      <c r="E2359" s="4">
        <v>8.2541492163634552E-6</v>
      </c>
      <c r="F2359" s="4">
        <v>8.2541492163634552E-6</v>
      </c>
      <c r="G2359" s="4">
        <v>8.2541492163634552E-6</v>
      </c>
      <c r="H2359" s="4">
        <v>8.2541492163634552E-6</v>
      </c>
      <c r="I2359" s="4">
        <v>8.2541492163634552E-6</v>
      </c>
      <c r="J2359" s="4">
        <v>8.2541492163634552E-6</v>
      </c>
      <c r="K2359" s="4">
        <v>8.2541492163634552E-6</v>
      </c>
      <c r="L2359" s="4">
        <v>8.2541492163634552E-6</v>
      </c>
      <c r="M2359" s="4">
        <v>8.2541492163634552E-6</v>
      </c>
      <c r="N2359" t="s">
        <v>242</v>
      </c>
      <c r="O2359" t="s">
        <v>386</v>
      </c>
      <c r="P2359" t="s">
        <v>384</v>
      </c>
      <c r="Q2359" s="4" t="s">
        <v>245</v>
      </c>
    </row>
    <row r="2360" spans="1:17" x14ac:dyDescent="0.25">
      <c r="A2360" t="s">
        <v>384</v>
      </c>
      <c r="B2360" t="s">
        <v>174</v>
      </c>
      <c r="C2360" s="4">
        <v>7.5527941574490519E-3</v>
      </c>
      <c r="D2360" s="4">
        <v>7.5527941574490519E-3</v>
      </c>
      <c r="E2360" s="4">
        <v>7.5527941574490519E-3</v>
      </c>
      <c r="F2360" s="4">
        <v>7.5527941574490519E-3</v>
      </c>
      <c r="G2360" s="4">
        <v>7.5527941574490519E-3</v>
      </c>
      <c r="H2360" s="4">
        <v>7.5527941574490519E-3</v>
      </c>
      <c r="I2360" s="4">
        <v>7.5527941574490519E-3</v>
      </c>
      <c r="J2360" s="4">
        <v>7.5527941574490519E-3</v>
      </c>
      <c r="K2360" s="4">
        <v>7.5527941574490519E-3</v>
      </c>
      <c r="L2360" s="4">
        <v>7.5527941574490519E-3</v>
      </c>
      <c r="M2360" s="4">
        <v>7.5527941574490519E-3</v>
      </c>
      <c r="N2360" t="s">
        <v>242</v>
      </c>
      <c r="O2360" t="s">
        <v>386</v>
      </c>
      <c r="P2360" t="s">
        <v>384</v>
      </c>
      <c r="Q2360" s="4" t="s">
        <v>245</v>
      </c>
    </row>
    <row r="2361" spans="1:17" x14ac:dyDescent="0.25">
      <c r="A2361" t="s">
        <v>384</v>
      </c>
      <c r="B2361" t="s">
        <v>162</v>
      </c>
      <c r="C2361" s="4">
        <v>3.5409227098801087E-2</v>
      </c>
      <c r="D2361" s="4">
        <v>3.5409227098801087E-2</v>
      </c>
      <c r="E2361" s="4">
        <v>3.5409227098801087E-2</v>
      </c>
      <c r="F2361" s="4">
        <v>3.5409227098801087E-2</v>
      </c>
      <c r="G2361" s="4">
        <v>3.5409227098801087E-2</v>
      </c>
      <c r="H2361" s="4">
        <v>3.5409227098801087E-2</v>
      </c>
      <c r="I2361" s="4">
        <v>3.5409227098801087E-2</v>
      </c>
      <c r="J2361" s="4">
        <v>3.5409227098801087E-2</v>
      </c>
      <c r="K2361" s="4">
        <v>3.5409227098801087E-2</v>
      </c>
      <c r="L2361" s="4">
        <v>3.5409227098801087E-2</v>
      </c>
      <c r="M2361" s="4">
        <v>3.5409227098801087E-2</v>
      </c>
      <c r="N2361" t="s">
        <v>242</v>
      </c>
      <c r="O2361" t="s">
        <v>386</v>
      </c>
      <c r="P2361" t="s">
        <v>384</v>
      </c>
      <c r="Q2361" s="4" t="s">
        <v>245</v>
      </c>
    </row>
    <row r="2362" spans="1:17" x14ac:dyDescent="0.25">
      <c r="A2362" t="s">
        <v>384</v>
      </c>
      <c r="B2362" t="s">
        <v>176</v>
      </c>
      <c r="C2362" s="4">
        <v>5.6128214671271491E-3</v>
      </c>
      <c r="D2362" s="4">
        <v>5.6128214671271491E-3</v>
      </c>
      <c r="E2362" s="4">
        <v>5.6128214671271491E-3</v>
      </c>
      <c r="F2362" s="4">
        <v>5.6128214671271491E-3</v>
      </c>
      <c r="G2362" s="4">
        <v>5.6128214671271491E-3</v>
      </c>
      <c r="H2362" s="4">
        <v>5.6128214671271491E-3</v>
      </c>
      <c r="I2362" s="4">
        <v>5.6128214671271491E-3</v>
      </c>
      <c r="J2362" s="4">
        <v>5.6128214671271491E-3</v>
      </c>
      <c r="K2362" s="4">
        <v>5.6128214671271491E-3</v>
      </c>
      <c r="L2362" s="4">
        <v>5.6128214671271491E-3</v>
      </c>
      <c r="M2362" s="4">
        <v>5.6128214671271491E-3</v>
      </c>
      <c r="N2362" t="s">
        <v>242</v>
      </c>
      <c r="O2362" t="s">
        <v>386</v>
      </c>
      <c r="P2362" t="s">
        <v>384</v>
      </c>
      <c r="Q2362" s="4" t="s">
        <v>245</v>
      </c>
    </row>
    <row r="2363" spans="1:17" x14ac:dyDescent="0.25">
      <c r="A2363" t="s">
        <v>384</v>
      </c>
      <c r="B2363" t="s">
        <v>132</v>
      </c>
      <c r="C2363" s="4">
        <v>3.7288201626414073E-2</v>
      </c>
      <c r="D2363" s="4">
        <v>3.7288201626414073E-2</v>
      </c>
      <c r="E2363" s="4">
        <v>3.7288201626414073E-2</v>
      </c>
      <c r="F2363" s="4">
        <v>3.7288201626414073E-2</v>
      </c>
      <c r="G2363" s="4">
        <v>3.7288201626414073E-2</v>
      </c>
      <c r="H2363" s="4">
        <v>3.7288201626414073E-2</v>
      </c>
      <c r="I2363" s="4">
        <v>3.7288201626414073E-2</v>
      </c>
      <c r="J2363" s="4">
        <v>3.7288201626414073E-2</v>
      </c>
      <c r="K2363" s="4">
        <v>3.7288201626414073E-2</v>
      </c>
      <c r="L2363" s="4">
        <v>3.7288201626414073E-2</v>
      </c>
      <c r="M2363" s="4">
        <v>3.7288201626414073E-2</v>
      </c>
      <c r="N2363" t="s">
        <v>242</v>
      </c>
      <c r="O2363" t="s">
        <v>386</v>
      </c>
      <c r="P2363" t="s">
        <v>384</v>
      </c>
      <c r="Q2363" s="4" t="s">
        <v>245</v>
      </c>
    </row>
    <row r="2364" spans="1:17" x14ac:dyDescent="0.25">
      <c r="A2364" t="s">
        <v>384</v>
      </c>
      <c r="B2364" t="s">
        <v>151</v>
      </c>
      <c r="C2364" s="4">
        <v>2.9219688225926629E-4</v>
      </c>
      <c r="D2364" s="4">
        <v>2.9219688225926629E-4</v>
      </c>
      <c r="E2364" s="4">
        <v>2.9219688225926629E-4</v>
      </c>
      <c r="F2364" s="4">
        <v>2.9219688225926629E-4</v>
      </c>
      <c r="G2364" s="4">
        <v>2.9219688225926629E-4</v>
      </c>
      <c r="H2364" s="4">
        <v>2.9219688225926629E-4</v>
      </c>
      <c r="I2364" s="4">
        <v>2.9219688225926629E-4</v>
      </c>
      <c r="J2364" s="4">
        <v>2.9219688225926629E-4</v>
      </c>
      <c r="K2364" s="4">
        <v>2.9219688225926629E-4</v>
      </c>
      <c r="L2364" s="4">
        <v>2.9219688225926629E-4</v>
      </c>
      <c r="M2364" s="4">
        <v>2.9219688225926629E-4</v>
      </c>
      <c r="N2364" t="s">
        <v>242</v>
      </c>
      <c r="O2364" t="s">
        <v>386</v>
      </c>
      <c r="P2364" t="s">
        <v>384</v>
      </c>
      <c r="Q2364" s="4" t="s">
        <v>245</v>
      </c>
    </row>
    <row r="2365" spans="1:17" x14ac:dyDescent="0.25">
      <c r="A2365" t="s">
        <v>384</v>
      </c>
      <c r="B2365" t="s">
        <v>107</v>
      </c>
      <c r="C2365" s="4">
        <v>6.8517692645033032E-2</v>
      </c>
      <c r="D2365" s="4">
        <v>6.8517692645033032E-2</v>
      </c>
      <c r="E2365" s="4">
        <v>6.8517692645033032E-2</v>
      </c>
      <c r="F2365" s="4">
        <v>6.8517692645033032E-2</v>
      </c>
      <c r="G2365" s="4">
        <v>6.8517692645033032E-2</v>
      </c>
      <c r="H2365" s="4">
        <v>6.8517692645033032E-2</v>
      </c>
      <c r="I2365" s="4">
        <v>6.8517692645033032E-2</v>
      </c>
      <c r="J2365" s="4">
        <v>6.8517692645033032E-2</v>
      </c>
      <c r="K2365" s="4">
        <v>6.8517692645033032E-2</v>
      </c>
      <c r="L2365" s="4">
        <v>6.8517692645033032E-2</v>
      </c>
      <c r="M2365" s="4">
        <v>6.8517692645033032E-2</v>
      </c>
      <c r="N2365" t="s">
        <v>242</v>
      </c>
      <c r="O2365" t="s">
        <v>386</v>
      </c>
      <c r="P2365" t="s">
        <v>384</v>
      </c>
      <c r="Q2365" s="4" t="s">
        <v>245</v>
      </c>
    </row>
    <row r="2366" spans="1:17" x14ac:dyDescent="0.25">
      <c r="A2366" t="s">
        <v>384</v>
      </c>
      <c r="B2366" t="s">
        <v>137</v>
      </c>
      <c r="C2366" s="4">
        <v>1.557557957127784E-2</v>
      </c>
      <c r="D2366" s="4">
        <v>1.557557957127784E-2</v>
      </c>
      <c r="E2366" s="4">
        <v>1.557557957127784E-2</v>
      </c>
      <c r="F2366" s="4">
        <v>1.557557957127784E-2</v>
      </c>
      <c r="G2366" s="4">
        <v>1.557557957127784E-2</v>
      </c>
      <c r="H2366" s="4">
        <v>1.557557957127784E-2</v>
      </c>
      <c r="I2366" s="4">
        <v>1.557557957127784E-2</v>
      </c>
      <c r="J2366" s="4">
        <v>1.557557957127784E-2</v>
      </c>
      <c r="K2366" s="4">
        <v>1.557557957127784E-2</v>
      </c>
      <c r="L2366" s="4">
        <v>1.557557957127784E-2</v>
      </c>
      <c r="M2366" s="4">
        <v>1.557557957127784E-2</v>
      </c>
      <c r="N2366" t="s">
        <v>242</v>
      </c>
      <c r="O2366" t="s">
        <v>386</v>
      </c>
      <c r="P2366" t="s">
        <v>384</v>
      </c>
      <c r="Q2366" s="4" t="s">
        <v>245</v>
      </c>
    </row>
    <row r="2367" spans="1:17" x14ac:dyDescent="0.25">
      <c r="A2367" t="s">
        <v>384</v>
      </c>
      <c r="B2367" t="s">
        <v>122</v>
      </c>
      <c r="C2367" s="4">
        <v>6.25053703558339E-3</v>
      </c>
      <c r="D2367" s="4">
        <v>6.25053703558339E-3</v>
      </c>
      <c r="E2367" s="4">
        <v>6.25053703558339E-3</v>
      </c>
      <c r="F2367" s="4">
        <v>6.25053703558339E-3</v>
      </c>
      <c r="G2367" s="4">
        <v>6.25053703558339E-3</v>
      </c>
      <c r="H2367" s="4">
        <v>6.25053703558339E-3</v>
      </c>
      <c r="I2367" s="4">
        <v>6.25053703558339E-3</v>
      </c>
      <c r="J2367" s="4">
        <v>6.25053703558339E-3</v>
      </c>
      <c r="K2367" s="4">
        <v>6.25053703558339E-3</v>
      </c>
      <c r="L2367" s="4">
        <v>6.25053703558339E-3</v>
      </c>
      <c r="M2367" s="4">
        <v>6.25053703558339E-3</v>
      </c>
      <c r="N2367" t="s">
        <v>242</v>
      </c>
      <c r="O2367" t="s">
        <v>386</v>
      </c>
      <c r="P2367" t="s">
        <v>384</v>
      </c>
      <c r="Q2367" s="4" t="s">
        <v>245</v>
      </c>
    </row>
    <row r="2368" spans="1:17" x14ac:dyDescent="0.25">
      <c r="A2368" t="s">
        <v>384</v>
      </c>
      <c r="B2368" t="s">
        <v>140</v>
      </c>
      <c r="C2368" s="4">
        <v>1.4536217101953351E-2</v>
      </c>
      <c r="D2368" s="4">
        <v>1.4536217101953351E-2</v>
      </c>
      <c r="E2368" s="4">
        <v>1.4536217101953351E-2</v>
      </c>
      <c r="F2368" s="4">
        <v>1.4536217101953351E-2</v>
      </c>
      <c r="G2368" s="4">
        <v>1.4536217101953351E-2</v>
      </c>
      <c r="H2368" s="4">
        <v>1.4536217101953351E-2</v>
      </c>
      <c r="I2368" s="4">
        <v>1.4536217101953351E-2</v>
      </c>
      <c r="J2368" s="4">
        <v>1.4536217101953351E-2</v>
      </c>
      <c r="K2368" s="4">
        <v>1.4536217101953351E-2</v>
      </c>
      <c r="L2368" s="4">
        <v>1.4536217101953351E-2</v>
      </c>
      <c r="M2368" s="4">
        <v>1.4536217101953351E-2</v>
      </c>
      <c r="N2368" t="s">
        <v>242</v>
      </c>
      <c r="O2368" t="s">
        <v>386</v>
      </c>
      <c r="P2368" t="s">
        <v>384</v>
      </c>
      <c r="Q2368" s="4" t="s">
        <v>245</v>
      </c>
    </row>
    <row r="2369" spans="1:18" x14ac:dyDescent="0.25">
      <c r="A2369" t="s">
        <v>384</v>
      </c>
      <c r="B2369" t="s">
        <v>83</v>
      </c>
      <c r="C2369" s="4">
        <f t="shared" ref="C2369:M2369" si="1222">(0.139645918974656/(0.139645918974656+0.161885636831319+0.336648016439843)) * 4.49237849005033%</f>
        <v>9.8301849496275039E-3</v>
      </c>
      <c r="D2369" s="4">
        <f t="shared" si="1222"/>
        <v>9.8301849496275039E-3</v>
      </c>
      <c r="E2369" s="4">
        <f t="shared" si="1222"/>
        <v>9.8301849496275039E-3</v>
      </c>
      <c r="F2369" s="4">
        <f t="shared" si="1222"/>
        <v>9.8301849496275039E-3</v>
      </c>
      <c r="G2369" s="4">
        <f t="shared" si="1222"/>
        <v>9.8301849496275039E-3</v>
      </c>
      <c r="H2369" s="4">
        <f t="shared" si="1222"/>
        <v>9.8301849496275039E-3</v>
      </c>
      <c r="I2369" s="4">
        <f t="shared" si="1222"/>
        <v>9.8301849496275039E-3</v>
      </c>
      <c r="J2369" s="4">
        <f t="shared" si="1222"/>
        <v>9.8301849496275039E-3</v>
      </c>
      <c r="K2369" s="4">
        <f t="shared" si="1222"/>
        <v>9.8301849496275039E-3</v>
      </c>
      <c r="L2369" s="4">
        <f t="shared" si="1222"/>
        <v>9.8301849496275039E-3</v>
      </c>
      <c r="M2369" s="4">
        <f t="shared" si="1222"/>
        <v>9.8301849496275039E-3</v>
      </c>
      <c r="N2369" t="s">
        <v>242</v>
      </c>
      <c r="O2369" t="s">
        <v>386</v>
      </c>
      <c r="P2369" t="s">
        <v>384</v>
      </c>
      <c r="Q2369" s="4" t="s">
        <v>650</v>
      </c>
      <c r="R2369" t="s">
        <v>387</v>
      </c>
    </row>
    <row r="2370" spans="1:18" x14ac:dyDescent="0.25">
      <c r="A2370" t="s">
        <v>384</v>
      </c>
      <c r="B2370" t="s">
        <v>83</v>
      </c>
      <c r="C2370" s="4">
        <f t="shared" ref="C2370:M2370" si="1223">(0.161885636831319/(0.139645918974656+0.161885636831319+0.336648016439843)) * 4.49237849005033%</f>
        <v>1.1395719706129825E-2</v>
      </c>
      <c r="D2370" s="4">
        <f t="shared" si="1223"/>
        <v>1.1395719706129825E-2</v>
      </c>
      <c r="E2370" s="4">
        <f t="shared" si="1223"/>
        <v>1.1395719706129825E-2</v>
      </c>
      <c r="F2370" s="4">
        <f t="shared" si="1223"/>
        <v>1.1395719706129825E-2</v>
      </c>
      <c r="G2370" s="4">
        <f t="shared" si="1223"/>
        <v>1.1395719706129825E-2</v>
      </c>
      <c r="H2370" s="4">
        <f t="shared" si="1223"/>
        <v>1.1395719706129825E-2</v>
      </c>
      <c r="I2370" s="4">
        <f t="shared" si="1223"/>
        <v>1.1395719706129825E-2</v>
      </c>
      <c r="J2370" s="4">
        <f t="shared" si="1223"/>
        <v>1.1395719706129825E-2</v>
      </c>
      <c r="K2370" s="4">
        <f t="shared" si="1223"/>
        <v>1.1395719706129825E-2</v>
      </c>
      <c r="L2370" s="4">
        <f t="shared" si="1223"/>
        <v>1.1395719706129825E-2</v>
      </c>
      <c r="M2370" s="4">
        <f t="shared" si="1223"/>
        <v>1.1395719706129825E-2</v>
      </c>
      <c r="N2370" t="s">
        <v>242</v>
      </c>
      <c r="O2370" t="s">
        <v>317</v>
      </c>
      <c r="P2370" t="s">
        <v>384</v>
      </c>
      <c r="Q2370" s="4" t="s">
        <v>650</v>
      </c>
      <c r="R2370" t="s">
        <v>572</v>
      </c>
    </row>
    <row r="2371" spans="1:18" x14ac:dyDescent="0.25">
      <c r="A2371" t="s">
        <v>384</v>
      </c>
      <c r="B2371" t="s">
        <v>83</v>
      </c>
      <c r="C2371" s="4">
        <f t="shared" ref="C2371:M2371" si="1224">(0.336648016439843/(0.139645918974656+0.161885636831319+0.336648016439843)) * 4.49237849005033%</f>
        <v>2.3697880244745971E-2</v>
      </c>
      <c r="D2371" s="4">
        <f t="shared" si="1224"/>
        <v>2.3697880244745971E-2</v>
      </c>
      <c r="E2371" s="4">
        <f t="shared" si="1224"/>
        <v>2.3697880244745971E-2</v>
      </c>
      <c r="F2371" s="4">
        <f t="shared" si="1224"/>
        <v>2.3697880244745971E-2</v>
      </c>
      <c r="G2371" s="4">
        <f t="shared" si="1224"/>
        <v>2.3697880244745971E-2</v>
      </c>
      <c r="H2371" s="4">
        <f t="shared" si="1224"/>
        <v>2.3697880244745971E-2</v>
      </c>
      <c r="I2371" s="4">
        <f t="shared" si="1224"/>
        <v>2.3697880244745971E-2</v>
      </c>
      <c r="J2371" s="4">
        <f t="shared" si="1224"/>
        <v>2.3697880244745971E-2</v>
      </c>
      <c r="K2371" s="4">
        <f t="shared" si="1224"/>
        <v>2.3697880244745971E-2</v>
      </c>
      <c r="L2371" s="4">
        <f t="shared" si="1224"/>
        <v>2.3697880244745971E-2</v>
      </c>
      <c r="M2371" s="4">
        <f t="shared" si="1224"/>
        <v>2.3697880244745971E-2</v>
      </c>
      <c r="N2371" t="s">
        <v>242</v>
      </c>
      <c r="O2371" t="s">
        <v>289</v>
      </c>
      <c r="P2371" t="s">
        <v>384</v>
      </c>
      <c r="Q2371" s="4" t="s">
        <v>650</v>
      </c>
    </row>
    <row r="2372" spans="1:18" x14ac:dyDescent="0.25">
      <c r="A2372" t="s">
        <v>384</v>
      </c>
      <c r="B2372" t="s">
        <v>181</v>
      </c>
      <c r="C2372" s="4">
        <f t="shared" ref="C2372:M2372" si="1225">(0.139645918974656/(0.139645918974656+0.161885636831319+0.336648016439843)) * 0.0288895222572721%</f>
        <v>6.3215810405187683E-5</v>
      </c>
      <c r="D2372" s="4">
        <f t="shared" si="1225"/>
        <v>6.3215810405187683E-5</v>
      </c>
      <c r="E2372" s="4">
        <f t="shared" si="1225"/>
        <v>6.3215810405187683E-5</v>
      </c>
      <c r="F2372" s="4">
        <f t="shared" si="1225"/>
        <v>6.3215810405187683E-5</v>
      </c>
      <c r="G2372" s="4">
        <f t="shared" si="1225"/>
        <v>6.3215810405187683E-5</v>
      </c>
      <c r="H2372" s="4">
        <f t="shared" si="1225"/>
        <v>6.3215810405187683E-5</v>
      </c>
      <c r="I2372" s="4">
        <f t="shared" si="1225"/>
        <v>6.3215810405187683E-5</v>
      </c>
      <c r="J2372" s="4">
        <f t="shared" si="1225"/>
        <v>6.3215810405187683E-5</v>
      </c>
      <c r="K2372" s="4">
        <f t="shared" si="1225"/>
        <v>6.3215810405187683E-5</v>
      </c>
      <c r="L2372" s="4">
        <f t="shared" si="1225"/>
        <v>6.3215810405187683E-5</v>
      </c>
      <c r="M2372" s="4">
        <f t="shared" si="1225"/>
        <v>6.3215810405187683E-5</v>
      </c>
      <c r="N2372" t="s">
        <v>242</v>
      </c>
      <c r="O2372" t="s">
        <v>386</v>
      </c>
      <c r="P2372" t="s">
        <v>384</v>
      </c>
      <c r="Q2372" s="4" t="s">
        <v>650</v>
      </c>
    </row>
    <row r="2373" spans="1:18" x14ac:dyDescent="0.25">
      <c r="A2373" t="s">
        <v>384</v>
      </c>
      <c r="B2373" t="s">
        <v>181</v>
      </c>
      <c r="C2373" s="4">
        <f t="shared" ref="C2373:M2373" si="1226">(0.161885636831319/(0.139645918974656+0.161885636831319+0.336648016439843)) * 0.0288895222572721%</f>
        <v>7.3283428548377607E-5</v>
      </c>
      <c r="D2373" s="4">
        <f t="shared" si="1226"/>
        <v>7.3283428548377607E-5</v>
      </c>
      <c r="E2373" s="4">
        <f t="shared" si="1226"/>
        <v>7.3283428548377607E-5</v>
      </c>
      <c r="F2373" s="4">
        <f t="shared" si="1226"/>
        <v>7.3283428548377607E-5</v>
      </c>
      <c r="G2373" s="4">
        <f t="shared" si="1226"/>
        <v>7.3283428548377607E-5</v>
      </c>
      <c r="H2373" s="4">
        <f t="shared" si="1226"/>
        <v>7.3283428548377607E-5</v>
      </c>
      <c r="I2373" s="4">
        <f t="shared" si="1226"/>
        <v>7.3283428548377607E-5</v>
      </c>
      <c r="J2373" s="4">
        <f t="shared" si="1226"/>
        <v>7.3283428548377607E-5</v>
      </c>
      <c r="K2373" s="4">
        <f t="shared" si="1226"/>
        <v>7.3283428548377607E-5</v>
      </c>
      <c r="L2373" s="4">
        <f t="shared" si="1226"/>
        <v>7.3283428548377607E-5</v>
      </c>
      <c r="M2373" s="4">
        <f t="shared" si="1226"/>
        <v>7.3283428548377607E-5</v>
      </c>
      <c r="N2373" t="s">
        <v>242</v>
      </c>
      <c r="O2373" t="s">
        <v>317</v>
      </c>
      <c r="P2373" t="s">
        <v>384</v>
      </c>
      <c r="Q2373" s="4" t="s">
        <v>650</v>
      </c>
    </row>
    <row r="2374" spans="1:18" x14ac:dyDescent="0.25">
      <c r="A2374" t="s">
        <v>384</v>
      </c>
      <c r="B2374" t="s">
        <v>181</v>
      </c>
      <c r="C2374" s="4">
        <f t="shared" ref="C2374:M2374" si="1227">(0.336648016439843/(0.139645918974656+0.161885636831319+0.336648016439843)) * 0.0288895222572721%</f>
        <v>1.5239598361915571E-4</v>
      </c>
      <c r="D2374" s="4">
        <f t="shared" si="1227"/>
        <v>1.5239598361915571E-4</v>
      </c>
      <c r="E2374" s="4">
        <f t="shared" si="1227"/>
        <v>1.5239598361915571E-4</v>
      </c>
      <c r="F2374" s="4">
        <f t="shared" si="1227"/>
        <v>1.5239598361915571E-4</v>
      </c>
      <c r="G2374" s="4">
        <f t="shared" si="1227"/>
        <v>1.5239598361915571E-4</v>
      </c>
      <c r="H2374" s="4">
        <f t="shared" si="1227"/>
        <v>1.5239598361915571E-4</v>
      </c>
      <c r="I2374" s="4">
        <f t="shared" si="1227"/>
        <v>1.5239598361915571E-4</v>
      </c>
      <c r="J2374" s="4">
        <f t="shared" si="1227"/>
        <v>1.5239598361915571E-4</v>
      </c>
      <c r="K2374" s="4">
        <f t="shared" si="1227"/>
        <v>1.5239598361915571E-4</v>
      </c>
      <c r="L2374" s="4">
        <f t="shared" si="1227"/>
        <v>1.5239598361915571E-4</v>
      </c>
      <c r="M2374" s="4">
        <f t="shared" si="1227"/>
        <v>1.5239598361915571E-4</v>
      </c>
      <c r="N2374" t="s">
        <v>242</v>
      </c>
      <c r="O2374" t="s">
        <v>289</v>
      </c>
      <c r="P2374" t="s">
        <v>384</v>
      </c>
      <c r="Q2374" s="4" t="s">
        <v>650</v>
      </c>
    </row>
    <row r="2375" spans="1:18" x14ac:dyDescent="0.25">
      <c r="A2375" t="s">
        <v>384</v>
      </c>
      <c r="B2375" t="s">
        <v>85</v>
      </c>
      <c r="C2375" s="4">
        <f t="shared" ref="C2375:M2375" si="1228">(0.139645918974656/(0.139645918974656+0.161885636831319+0.336648016439843)) * 2.5208171706774%</f>
        <v>5.5160309993555201E-3</v>
      </c>
      <c r="D2375" s="4">
        <f t="shared" si="1228"/>
        <v>5.5160309993555201E-3</v>
      </c>
      <c r="E2375" s="4">
        <f t="shared" si="1228"/>
        <v>5.5160309993555201E-3</v>
      </c>
      <c r="F2375" s="4">
        <f t="shared" si="1228"/>
        <v>5.5160309993555201E-3</v>
      </c>
      <c r="G2375" s="4">
        <f t="shared" si="1228"/>
        <v>5.5160309993555201E-3</v>
      </c>
      <c r="H2375" s="4">
        <f t="shared" si="1228"/>
        <v>5.5160309993555201E-3</v>
      </c>
      <c r="I2375" s="4">
        <f t="shared" si="1228"/>
        <v>5.5160309993555201E-3</v>
      </c>
      <c r="J2375" s="4">
        <f t="shared" si="1228"/>
        <v>5.5160309993555201E-3</v>
      </c>
      <c r="K2375" s="4">
        <f t="shared" si="1228"/>
        <v>5.5160309993555201E-3</v>
      </c>
      <c r="L2375" s="4">
        <f t="shared" si="1228"/>
        <v>5.5160309993555201E-3</v>
      </c>
      <c r="M2375" s="4">
        <f t="shared" si="1228"/>
        <v>5.5160309993555201E-3</v>
      </c>
      <c r="N2375" t="s">
        <v>242</v>
      </c>
      <c r="O2375" t="s">
        <v>386</v>
      </c>
      <c r="P2375" t="s">
        <v>384</v>
      </c>
      <c r="Q2375" s="4" t="s">
        <v>650</v>
      </c>
    </row>
    <row r="2376" spans="1:18" x14ac:dyDescent="0.25">
      <c r="A2376" t="s">
        <v>384</v>
      </c>
      <c r="B2376" t="s">
        <v>85</v>
      </c>
      <c r="C2376" s="4">
        <f t="shared" ref="C2376:M2376" si="1229">(0.161885636831319/(0.139645918974656+0.161885636831319+0.336648016439843)) * 2.5208171706774%</f>
        <v>6.3945025939070067E-3</v>
      </c>
      <c r="D2376" s="4">
        <f t="shared" si="1229"/>
        <v>6.3945025939070067E-3</v>
      </c>
      <c r="E2376" s="4">
        <f t="shared" si="1229"/>
        <v>6.3945025939070067E-3</v>
      </c>
      <c r="F2376" s="4">
        <f t="shared" si="1229"/>
        <v>6.3945025939070067E-3</v>
      </c>
      <c r="G2376" s="4">
        <f t="shared" si="1229"/>
        <v>6.3945025939070067E-3</v>
      </c>
      <c r="H2376" s="4">
        <f t="shared" si="1229"/>
        <v>6.3945025939070067E-3</v>
      </c>
      <c r="I2376" s="4">
        <f t="shared" si="1229"/>
        <v>6.3945025939070067E-3</v>
      </c>
      <c r="J2376" s="4">
        <f t="shared" si="1229"/>
        <v>6.3945025939070067E-3</v>
      </c>
      <c r="K2376" s="4">
        <f t="shared" si="1229"/>
        <v>6.3945025939070067E-3</v>
      </c>
      <c r="L2376" s="4">
        <f t="shared" si="1229"/>
        <v>6.3945025939070067E-3</v>
      </c>
      <c r="M2376" s="4">
        <f t="shared" si="1229"/>
        <v>6.3945025939070067E-3</v>
      </c>
      <c r="N2376" t="s">
        <v>242</v>
      </c>
      <c r="O2376" t="s">
        <v>317</v>
      </c>
      <c r="P2376" t="s">
        <v>384</v>
      </c>
      <c r="Q2376" s="4" t="s">
        <v>650</v>
      </c>
    </row>
    <row r="2377" spans="1:18" x14ac:dyDescent="0.25">
      <c r="A2377" t="s">
        <v>384</v>
      </c>
      <c r="B2377" t="s">
        <v>85</v>
      </c>
      <c r="C2377" s="4">
        <f t="shared" ref="C2377:M2377" si="1230">(0.336648016439843/(0.139645918974656+0.161885636831319+0.336648016439843)) * 2.5208171706774%</f>
        <v>1.3297638113511473E-2</v>
      </c>
      <c r="D2377" s="4">
        <f t="shared" si="1230"/>
        <v>1.3297638113511473E-2</v>
      </c>
      <c r="E2377" s="4">
        <f t="shared" si="1230"/>
        <v>1.3297638113511473E-2</v>
      </c>
      <c r="F2377" s="4">
        <f t="shared" si="1230"/>
        <v>1.3297638113511473E-2</v>
      </c>
      <c r="G2377" s="4">
        <f t="shared" si="1230"/>
        <v>1.3297638113511473E-2</v>
      </c>
      <c r="H2377" s="4">
        <f t="shared" si="1230"/>
        <v>1.3297638113511473E-2</v>
      </c>
      <c r="I2377" s="4">
        <f t="shared" si="1230"/>
        <v>1.3297638113511473E-2</v>
      </c>
      <c r="J2377" s="4">
        <f t="shared" si="1230"/>
        <v>1.3297638113511473E-2</v>
      </c>
      <c r="K2377" s="4">
        <f t="shared" si="1230"/>
        <v>1.3297638113511473E-2</v>
      </c>
      <c r="L2377" s="4">
        <f t="shared" si="1230"/>
        <v>1.3297638113511473E-2</v>
      </c>
      <c r="M2377" s="4">
        <f t="shared" si="1230"/>
        <v>1.3297638113511473E-2</v>
      </c>
      <c r="N2377" t="s">
        <v>242</v>
      </c>
      <c r="O2377" t="s">
        <v>289</v>
      </c>
      <c r="P2377" t="s">
        <v>384</v>
      </c>
      <c r="Q2377" s="4" t="s">
        <v>650</v>
      </c>
    </row>
    <row r="2378" spans="1:18" x14ac:dyDescent="0.25">
      <c r="A2378" t="s">
        <v>384</v>
      </c>
      <c r="B2378" t="s">
        <v>116</v>
      </c>
      <c r="C2378" s="4">
        <f t="shared" ref="C2378:M2378" si="1231">(0.139645918974656/(0.139645918974656+0.161885636831319+0.336648016439843)) * 5.44731752118985%</f>
        <v>1.1919774531740923E-2</v>
      </c>
      <c r="D2378" s="4">
        <f t="shared" si="1231"/>
        <v>1.1919774531740923E-2</v>
      </c>
      <c r="E2378" s="4">
        <f t="shared" si="1231"/>
        <v>1.1919774531740923E-2</v>
      </c>
      <c r="F2378" s="4">
        <f t="shared" si="1231"/>
        <v>1.1919774531740923E-2</v>
      </c>
      <c r="G2378" s="4">
        <f t="shared" si="1231"/>
        <v>1.1919774531740923E-2</v>
      </c>
      <c r="H2378" s="4">
        <f t="shared" si="1231"/>
        <v>1.1919774531740923E-2</v>
      </c>
      <c r="I2378" s="4">
        <f t="shared" si="1231"/>
        <v>1.1919774531740923E-2</v>
      </c>
      <c r="J2378" s="4">
        <f t="shared" si="1231"/>
        <v>1.1919774531740923E-2</v>
      </c>
      <c r="K2378" s="4">
        <f t="shared" si="1231"/>
        <v>1.1919774531740923E-2</v>
      </c>
      <c r="L2378" s="4">
        <f t="shared" si="1231"/>
        <v>1.1919774531740923E-2</v>
      </c>
      <c r="M2378" s="4">
        <f t="shared" si="1231"/>
        <v>1.1919774531740923E-2</v>
      </c>
      <c r="N2378" t="s">
        <v>242</v>
      </c>
      <c r="O2378" t="s">
        <v>386</v>
      </c>
      <c r="P2378" t="s">
        <v>384</v>
      </c>
      <c r="Q2378" s="4" t="s">
        <v>650</v>
      </c>
    </row>
    <row r="2379" spans="1:18" x14ac:dyDescent="0.25">
      <c r="A2379" t="s">
        <v>384</v>
      </c>
      <c r="B2379" t="s">
        <v>116</v>
      </c>
      <c r="C2379" s="4">
        <f t="shared" ref="C2379:M2379" si="1232">(0.161885636831319/(0.139645918974656+0.161885636831319+0.336648016439843)) * 5.44731752118985%</f>
        <v>1.3818092967735224E-2</v>
      </c>
      <c r="D2379" s="4">
        <f t="shared" si="1232"/>
        <v>1.3818092967735224E-2</v>
      </c>
      <c r="E2379" s="4">
        <f t="shared" si="1232"/>
        <v>1.3818092967735224E-2</v>
      </c>
      <c r="F2379" s="4">
        <f t="shared" si="1232"/>
        <v>1.3818092967735224E-2</v>
      </c>
      <c r="G2379" s="4">
        <f t="shared" si="1232"/>
        <v>1.3818092967735224E-2</v>
      </c>
      <c r="H2379" s="4">
        <f t="shared" si="1232"/>
        <v>1.3818092967735224E-2</v>
      </c>
      <c r="I2379" s="4">
        <f t="shared" si="1232"/>
        <v>1.3818092967735224E-2</v>
      </c>
      <c r="J2379" s="4">
        <f t="shared" si="1232"/>
        <v>1.3818092967735224E-2</v>
      </c>
      <c r="K2379" s="4">
        <f t="shared" si="1232"/>
        <v>1.3818092967735224E-2</v>
      </c>
      <c r="L2379" s="4">
        <f t="shared" si="1232"/>
        <v>1.3818092967735224E-2</v>
      </c>
      <c r="M2379" s="4">
        <f t="shared" si="1232"/>
        <v>1.3818092967735224E-2</v>
      </c>
      <c r="N2379" t="s">
        <v>242</v>
      </c>
      <c r="O2379" t="s">
        <v>317</v>
      </c>
      <c r="P2379" t="s">
        <v>384</v>
      </c>
      <c r="Q2379" s="4" t="s">
        <v>650</v>
      </c>
    </row>
    <row r="2380" spans="1:18" x14ac:dyDescent="0.25">
      <c r="A2380" t="s">
        <v>384</v>
      </c>
      <c r="B2380" t="s">
        <v>116</v>
      </c>
      <c r="C2380" s="4">
        <f t="shared" ref="C2380:M2380" si="1233">(0.336648016439843/(0.139645918974656+0.161885636831319+0.336648016439843)) * 5.44731752118985%</f>
        <v>2.8735307712422359E-2</v>
      </c>
      <c r="D2380" s="4">
        <f t="shared" si="1233"/>
        <v>2.8735307712422359E-2</v>
      </c>
      <c r="E2380" s="4">
        <f t="shared" si="1233"/>
        <v>2.8735307712422359E-2</v>
      </c>
      <c r="F2380" s="4">
        <f t="shared" si="1233"/>
        <v>2.8735307712422359E-2</v>
      </c>
      <c r="G2380" s="4">
        <f t="shared" si="1233"/>
        <v>2.8735307712422359E-2</v>
      </c>
      <c r="H2380" s="4">
        <f t="shared" si="1233"/>
        <v>2.8735307712422359E-2</v>
      </c>
      <c r="I2380" s="4">
        <f t="shared" si="1233"/>
        <v>2.8735307712422359E-2</v>
      </c>
      <c r="J2380" s="4">
        <f t="shared" si="1233"/>
        <v>2.8735307712422359E-2</v>
      </c>
      <c r="K2380" s="4">
        <f t="shared" si="1233"/>
        <v>2.8735307712422359E-2</v>
      </c>
      <c r="L2380" s="4">
        <f t="shared" si="1233"/>
        <v>2.8735307712422359E-2</v>
      </c>
      <c r="M2380" s="4">
        <f t="shared" si="1233"/>
        <v>2.8735307712422359E-2</v>
      </c>
      <c r="N2380" t="s">
        <v>242</v>
      </c>
      <c r="O2380" t="s">
        <v>289</v>
      </c>
      <c r="P2380" t="s">
        <v>384</v>
      </c>
      <c r="Q2380" s="4" t="s">
        <v>650</v>
      </c>
    </row>
    <row r="2381" spans="1:18" x14ac:dyDescent="0.25">
      <c r="A2381" t="s">
        <v>384</v>
      </c>
      <c r="B2381" t="s">
        <v>86</v>
      </c>
      <c r="C2381" s="4">
        <v>0.29673666432826618</v>
      </c>
      <c r="D2381" s="4">
        <v>0.29673666432826618</v>
      </c>
      <c r="E2381" s="4">
        <v>0.29673666432826618</v>
      </c>
      <c r="F2381" s="4">
        <v>0.29673666432826618</v>
      </c>
      <c r="G2381" s="4">
        <v>0.29673666432826618</v>
      </c>
      <c r="H2381" s="4">
        <v>0.29673666432826618</v>
      </c>
      <c r="I2381" s="4">
        <v>0.29673666432826618</v>
      </c>
      <c r="J2381" s="4">
        <v>0.29673666432826618</v>
      </c>
      <c r="K2381" s="4">
        <v>0.29673666432826618</v>
      </c>
      <c r="L2381" s="4">
        <v>0.29673666432826618</v>
      </c>
      <c r="M2381" s="4">
        <v>0.29673666432826618</v>
      </c>
      <c r="N2381" t="s">
        <v>254</v>
      </c>
      <c r="O2381" t="s">
        <v>385</v>
      </c>
      <c r="P2381" t="s">
        <v>384</v>
      </c>
      <c r="Q2381" s="4" t="s">
        <v>650</v>
      </c>
    </row>
    <row r="2382" spans="1:18" x14ac:dyDescent="0.25">
      <c r="A2382" t="s">
        <v>384</v>
      </c>
      <c r="B2382" t="s">
        <v>87</v>
      </c>
      <c r="C2382" s="4">
        <f t="shared" ref="C2382:M2382" si="1234">(0.139645918974656/(0.139645918974656+0.161885636831319+0.336648016439843)) * 1.63948864224941%</f>
        <v>3.5875153021545213E-3</v>
      </c>
      <c r="D2382" s="4">
        <f t="shared" si="1234"/>
        <v>3.5875153021545213E-3</v>
      </c>
      <c r="E2382" s="4">
        <f t="shared" si="1234"/>
        <v>3.5875153021545213E-3</v>
      </c>
      <c r="F2382" s="4">
        <f t="shared" si="1234"/>
        <v>3.5875153021545213E-3</v>
      </c>
      <c r="G2382" s="4">
        <f t="shared" si="1234"/>
        <v>3.5875153021545213E-3</v>
      </c>
      <c r="H2382" s="4">
        <f t="shared" si="1234"/>
        <v>3.5875153021545213E-3</v>
      </c>
      <c r="I2382" s="4">
        <f t="shared" si="1234"/>
        <v>3.5875153021545213E-3</v>
      </c>
      <c r="J2382" s="4">
        <f t="shared" si="1234"/>
        <v>3.5875153021545213E-3</v>
      </c>
      <c r="K2382" s="4">
        <f t="shared" si="1234"/>
        <v>3.5875153021545213E-3</v>
      </c>
      <c r="L2382" s="4">
        <f t="shared" si="1234"/>
        <v>3.5875153021545213E-3</v>
      </c>
      <c r="M2382" s="4">
        <f t="shared" si="1234"/>
        <v>3.5875153021545213E-3</v>
      </c>
      <c r="N2382" t="s">
        <v>242</v>
      </c>
      <c r="O2382" t="s">
        <v>386</v>
      </c>
      <c r="P2382" t="s">
        <v>384</v>
      </c>
      <c r="Q2382" s="4" t="s">
        <v>650</v>
      </c>
    </row>
    <row r="2383" spans="1:18" x14ac:dyDescent="0.25">
      <c r="A2383" t="s">
        <v>384</v>
      </c>
      <c r="B2383" t="s">
        <v>87</v>
      </c>
      <c r="C2383" s="4">
        <f t="shared" ref="C2383:M2383" si="1235">(0.161885636831319/(0.139645918974656+0.161885636831319+0.336648016439843)) * 1.63948864224941%</f>
        <v>4.158855508242877E-3</v>
      </c>
      <c r="D2383" s="4">
        <f t="shared" si="1235"/>
        <v>4.158855508242877E-3</v>
      </c>
      <c r="E2383" s="4">
        <f t="shared" si="1235"/>
        <v>4.158855508242877E-3</v>
      </c>
      <c r="F2383" s="4">
        <f t="shared" si="1235"/>
        <v>4.158855508242877E-3</v>
      </c>
      <c r="G2383" s="4">
        <f t="shared" si="1235"/>
        <v>4.158855508242877E-3</v>
      </c>
      <c r="H2383" s="4">
        <f t="shared" si="1235"/>
        <v>4.158855508242877E-3</v>
      </c>
      <c r="I2383" s="4">
        <f t="shared" si="1235"/>
        <v>4.158855508242877E-3</v>
      </c>
      <c r="J2383" s="4">
        <f t="shared" si="1235"/>
        <v>4.158855508242877E-3</v>
      </c>
      <c r="K2383" s="4">
        <f t="shared" si="1235"/>
        <v>4.158855508242877E-3</v>
      </c>
      <c r="L2383" s="4">
        <f t="shared" si="1235"/>
        <v>4.158855508242877E-3</v>
      </c>
      <c r="M2383" s="4">
        <f t="shared" si="1235"/>
        <v>4.158855508242877E-3</v>
      </c>
      <c r="N2383" t="s">
        <v>242</v>
      </c>
      <c r="O2383" t="s">
        <v>317</v>
      </c>
      <c r="P2383" t="s">
        <v>384</v>
      </c>
      <c r="Q2383" s="4" t="s">
        <v>650</v>
      </c>
    </row>
    <row r="2384" spans="1:18" x14ac:dyDescent="0.25">
      <c r="A2384" t="s">
        <v>384</v>
      </c>
      <c r="B2384" t="s">
        <v>87</v>
      </c>
      <c r="C2384" s="4">
        <f t="shared" ref="C2384:M2384" si="1236">(0.336648016439843/(0.139645918974656+0.161885636831319+0.336648016439843)) * 1.63948864224941%</f>
        <v>8.6485156120967022E-3</v>
      </c>
      <c r="D2384" s="4">
        <f t="shared" si="1236"/>
        <v>8.6485156120967022E-3</v>
      </c>
      <c r="E2384" s="4">
        <f t="shared" si="1236"/>
        <v>8.6485156120967022E-3</v>
      </c>
      <c r="F2384" s="4">
        <f t="shared" si="1236"/>
        <v>8.6485156120967022E-3</v>
      </c>
      <c r="G2384" s="4">
        <f t="shared" si="1236"/>
        <v>8.6485156120967022E-3</v>
      </c>
      <c r="H2384" s="4">
        <f t="shared" si="1236"/>
        <v>8.6485156120967022E-3</v>
      </c>
      <c r="I2384" s="4">
        <f t="shared" si="1236"/>
        <v>8.6485156120967022E-3</v>
      </c>
      <c r="J2384" s="4">
        <f t="shared" si="1236"/>
        <v>8.6485156120967022E-3</v>
      </c>
      <c r="K2384" s="4">
        <f t="shared" si="1236"/>
        <v>8.6485156120967022E-3</v>
      </c>
      <c r="L2384" s="4">
        <f t="shared" si="1236"/>
        <v>8.6485156120967022E-3</v>
      </c>
      <c r="M2384" s="4">
        <f t="shared" si="1236"/>
        <v>8.6485156120967022E-3</v>
      </c>
      <c r="N2384" t="s">
        <v>242</v>
      </c>
      <c r="O2384" t="s">
        <v>289</v>
      </c>
      <c r="P2384" t="s">
        <v>384</v>
      </c>
      <c r="Q2384" s="4" t="s">
        <v>650</v>
      </c>
    </row>
    <row r="2385" spans="1:17" x14ac:dyDescent="0.25">
      <c r="A2385" t="s">
        <v>384</v>
      </c>
      <c r="B2385" t="s">
        <v>160</v>
      </c>
      <c r="C2385" s="4">
        <f t="shared" ref="C2385:M2385" si="1237">(0.139645918974656/(0.139645918974656+0.161885636831319+0.336648016439843)) * 0.604203722637805%</f>
        <v>1.322113520474211E-3</v>
      </c>
      <c r="D2385" s="4">
        <f t="shared" si="1237"/>
        <v>1.322113520474211E-3</v>
      </c>
      <c r="E2385" s="4">
        <f t="shared" si="1237"/>
        <v>1.322113520474211E-3</v>
      </c>
      <c r="F2385" s="4">
        <f t="shared" si="1237"/>
        <v>1.322113520474211E-3</v>
      </c>
      <c r="G2385" s="4">
        <f t="shared" si="1237"/>
        <v>1.322113520474211E-3</v>
      </c>
      <c r="H2385" s="4">
        <f t="shared" si="1237"/>
        <v>1.322113520474211E-3</v>
      </c>
      <c r="I2385" s="4">
        <f t="shared" si="1237"/>
        <v>1.322113520474211E-3</v>
      </c>
      <c r="J2385" s="4">
        <f t="shared" si="1237"/>
        <v>1.322113520474211E-3</v>
      </c>
      <c r="K2385" s="4">
        <f t="shared" si="1237"/>
        <v>1.322113520474211E-3</v>
      </c>
      <c r="L2385" s="4">
        <f t="shared" si="1237"/>
        <v>1.322113520474211E-3</v>
      </c>
      <c r="M2385" s="4">
        <f t="shared" si="1237"/>
        <v>1.322113520474211E-3</v>
      </c>
      <c r="N2385" t="s">
        <v>242</v>
      </c>
      <c r="O2385" t="s">
        <v>386</v>
      </c>
      <c r="P2385" t="s">
        <v>384</v>
      </c>
      <c r="Q2385" s="4" t="s">
        <v>650</v>
      </c>
    </row>
    <row r="2386" spans="1:17" x14ac:dyDescent="0.25">
      <c r="A2386" t="s">
        <v>384</v>
      </c>
      <c r="B2386" t="s">
        <v>160</v>
      </c>
      <c r="C2386" s="4">
        <f t="shared" ref="C2386:M2386" si="1238">(0.161885636831319/(0.139645918974656+0.161885636831319+0.336648016439843)) * 0.604203722637805%</f>
        <v>1.5326705627832116E-3</v>
      </c>
      <c r="D2386" s="4">
        <f t="shared" si="1238"/>
        <v>1.5326705627832116E-3</v>
      </c>
      <c r="E2386" s="4">
        <f t="shared" si="1238"/>
        <v>1.5326705627832116E-3</v>
      </c>
      <c r="F2386" s="4">
        <f t="shared" si="1238"/>
        <v>1.5326705627832116E-3</v>
      </c>
      <c r="G2386" s="4">
        <f t="shared" si="1238"/>
        <v>1.5326705627832116E-3</v>
      </c>
      <c r="H2386" s="4">
        <f t="shared" si="1238"/>
        <v>1.5326705627832116E-3</v>
      </c>
      <c r="I2386" s="4">
        <f t="shared" si="1238"/>
        <v>1.5326705627832116E-3</v>
      </c>
      <c r="J2386" s="4">
        <f t="shared" si="1238"/>
        <v>1.5326705627832116E-3</v>
      </c>
      <c r="K2386" s="4">
        <f t="shared" si="1238"/>
        <v>1.5326705627832116E-3</v>
      </c>
      <c r="L2386" s="4">
        <f t="shared" si="1238"/>
        <v>1.5326705627832116E-3</v>
      </c>
      <c r="M2386" s="4">
        <f t="shared" si="1238"/>
        <v>1.5326705627832116E-3</v>
      </c>
      <c r="N2386" t="s">
        <v>242</v>
      </c>
      <c r="O2386" t="s">
        <v>317</v>
      </c>
      <c r="P2386" t="s">
        <v>384</v>
      </c>
      <c r="Q2386" s="4" t="s">
        <v>650</v>
      </c>
    </row>
    <row r="2387" spans="1:17" x14ac:dyDescent="0.25">
      <c r="A2387" t="s">
        <v>384</v>
      </c>
      <c r="B2387" t="s">
        <v>160</v>
      </c>
      <c r="C2387" s="4">
        <f t="shared" ref="C2387:M2387" si="1239">(0.336648016439843/(0.139645918974656+0.161885636831319+0.336648016439843)) * 0.604203722637805%</f>
        <v>3.1872531431206279E-3</v>
      </c>
      <c r="D2387" s="4">
        <f t="shared" si="1239"/>
        <v>3.1872531431206279E-3</v>
      </c>
      <c r="E2387" s="4">
        <f t="shared" si="1239"/>
        <v>3.1872531431206279E-3</v>
      </c>
      <c r="F2387" s="4">
        <f t="shared" si="1239"/>
        <v>3.1872531431206279E-3</v>
      </c>
      <c r="G2387" s="4">
        <f t="shared" si="1239"/>
        <v>3.1872531431206279E-3</v>
      </c>
      <c r="H2387" s="4">
        <f t="shared" si="1239"/>
        <v>3.1872531431206279E-3</v>
      </c>
      <c r="I2387" s="4">
        <f t="shared" si="1239"/>
        <v>3.1872531431206279E-3</v>
      </c>
      <c r="J2387" s="4">
        <f t="shared" si="1239"/>
        <v>3.1872531431206279E-3</v>
      </c>
      <c r="K2387" s="4">
        <f t="shared" si="1239"/>
        <v>3.1872531431206279E-3</v>
      </c>
      <c r="L2387" s="4">
        <f t="shared" si="1239"/>
        <v>3.1872531431206279E-3</v>
      </c>
      <c r="M2387" s="4">
        <f t="shared" si="1239"/>
        <v>3.1872531431206279E-3</v>
      </c>
      <c r="N2387" t="s">
        <v>242</v>
      </c>
      <c r="O2387" t="s">
        <v>289</v>
      </c>
      <c r="P2387" t="s">
        <v>384</v>
      </c>
      <c r="Q2387" s="4" t="s">
        <v>650</v>
      </c>
    </row>
    <row r="2388" spans="1:17" x14ac:dyDescent="0.25">
      <c r="A2388" t="s">
        <v>384</v>
      </c>
      <c r="B2388" t="s">
        <v>166</v>
      </c>
      <c r="C2388" s="4">
        <f t="shared" ref="C2388:M2388" si="1240">(0.139645918974656/(0.139645918974656+0.161885636831319+0.336648016439843)) * 0.0018736918721145%</f>
        <v>4.0999968462793052E-6</v>
      </c>
      <c r="D2388" s="4">
        <f t="shared" si="1240"/>
        <v>4.0999968462793052E-6</v>
      </c>
      <c r="E2388" s="4">
        <f t="shared" si="1240"/>
        <v>4.0999968462793052E-6</v>
      </c>
      <c r="F2388" s="4">
        <f t="shared" si="1240"/>
        <v>4.0999968462793052E-6</v>
      </c>
      <c r="G2388" s="4">
        <f t="shared" si="1240"/>
        <v>4.0999968462793052E-6</v>
      </c>
      <c r="H2388" s="4">
        <f t="shared" si="1240"/>
        <v>4.0999968462793052E-6</v>
      </c>
      <c r="I2388" s="4">
        <f t="shared" si="1240"/>
        <v>4.0999968462793052E-6</v>
      </c>
      <c r="J2388" s="4">
        <f t="shared" si="1240"/>
        <v>4.0999968462793052E-6</v>
      </c>
      <c r="K2388" s="4">
        <f t="shared" si="1240"/>
        <v>4.0999968462793052E-6</v>
      </c>
      <c r="L2388" s="4">
        <f t="shared" si="1240"/>
        <v>4.0999968462793052E-6</v>
      </c>
      <c r="M2388" s="4">
        <f t="shared" si="1240"/>
        <v>4.0999968462793052E-6</v>
      </c>
      <c r="N2388" t="s">
        <v>242</v>
      </c>
      <c r="O2388" t="s">
        <v>386</v>
      </c>
      <c r="P2388" t="s">
        <v>384</v>
      </c>
      <c r="Q2388" s="4" t="s">
        <v>650</v>
      </c>
    </row>
    <row r="2389" spans="1:17" x14ac:dyDescent="0.25">
      <c r="A2389" t="s">
        <v>384</v>
      </c>
      <c r="B2389" t="s">
        <v>166</v>
      </c>
      <c r="C2389" s="4">
        <f t="shared" ref="C2389:M2389" si="1241">(0.161885636831319/(0.139645918974656+0.161885636831319+0.336648016439843)) * 0.0018736918721145%</f>
        <v>4.7529537944233352E-6</v>
      </c>
      <c r="D2389" s="4">
        <f t="shared" si="1241"/>
        <v>4.7529537944233352E-6</v>
      </c>
      <c r="E2389" s="4">
        <f t="shared" si="1241"/>
        <v>4.7529537944233352E-6</v>
      </c>
      <c r="F2389" s="4">
        <f t="shared" si="1241"/>
        <v>4.7529537944233352E-6</v>
      </c>
      <c r="G2389" s="4">
        <f t="shared" si="1241"/>
        <v>4.7529537944233352E-6</v>
      </c>
      <c r="H2389" s="4">
        <f t="shared" si="1241"/>
        <v>4.7529537944233352E-6</v>
      </c>
      <c r="I2389" s="4">
        <f t="shared" si="1241"/>
        <v>4.7529537944233352E-6</v>
      </c>
      <c r="J2389" s="4">
        <f t="shared" si="1241"/>
        <v>4.7529537944233352E-6</v>
      </c>
      <c r="K2389" s="4">
        <f t="shared" si="1241"/>
        <v>4.7529537944233352E-6</v>
      </c>
      <c r="L2389" s="4">
        <f t="shared" si="1241"/>
        <v>4.7529537944233352E-6</v>
      </c>
      <c r="M2389" s="4">
        <f t="shared" si="1241"/>
        <v>4.7529537944233352E-6</v>
      </c>
      <c r="N2389" t="s">
        <v>242</v>
      </c>
      <c r="O2389" t="s">
        <v>317</v>
      </c>
      <c r="P2389" t="s">
        <v>384</v>
      </c>
      <c r="Q2389" s="4" t="s">
        <v>650</v>
      </c>
    </row>
    <row r="2390" spans="1:17" x14ac:dyDescent="0.25">
      <c r="A2390" t="s">
        <v>384</v>
      </c>
      <c r="B2390" t="s">
        <v>166</v>
      </c>
      <c r="C2390" s="4">
        <f t="shared" ref="C2390:M2390" si="1242">(0.336648016439843/(0.139645918974656+0.161885636831319+0.336648016439843)) * 0.0018736918721145%</f>
        <v>9.8839680804423595E-6</v>
      </c>
      <c r="D2390" s="4">
        <f t="shared" si="1242"/>
        <v>9.8839680804423595E-6</v>
      </c>
      <c r="E2390" s="4">
        <f t="shared" si="1242"/>
        <v>9.8839680804423595E-6</v>
      </c>
      <c r="F2390" s="4">
        <f t="shared" si="1242"/>
        <v>9.8839680804423595E-6</v>
      </c>
      <c r="G2390" s="4">
        <f t="shared" si="1242"/>
        <v>9.8839680804423595E-6</v>
      </c>
      <c r="H2390" s="4">
        <f t="shared" si="1242"/>
        <v>9.8839680804423595E-6</v>
      </c>
      <c r="I2390" s="4">
        <f t="shared" si="1242"/>
        <v>9.8839680804423595E-6</v>
      </c>
      <c r="J2390" s="4">
        <f t="shared" si="1242"/>
        <v>9.8839680804423595E-6</v>
      </c>
      <c r="K2390" s="4">
        <f t="shared" si="1242"/>
        <v>9.8839680804423595E-6</v>
      </c>
      <c r="L2390" s="4">
        <f t="shared" si="1242"/>
        <v>9.8839680804423595E-6</v>
      </c>
      <c r="M2390" s="4">
        <f t="shared" si="1242"/>
        <v>9.8839680804423595E-6</v>
      </c>
      <c r="N2390" t="s">
        <v>242</v>
      </c>
      <c r="O2390" t="s">
        <v>289</v>
      </c>
      <c r="P2390" t="s">
        <v>384</v>
      </c>
      <c r="Q2390" s="4" t="s">
        <v>650</v>
      </c>
    </row>
    <row r="2391" spans="1:17" x14ac:dyDescent="0.25">
      <c r="A2391" t="s">
        <v>384</v>
      </c>
      <c r="B2391" t="s">
        <v>89</v>
      </c>
      <c r="C2391" s="4">
        <f t="shared" ref="C2391:M2391" si="1243">(0.139645918974656/(0.139645918974656+0.161885636831319+0.336648016439843)) * 0.899479402554775%</f>
        <v>1.9682332877955767E-3</v>
      </c>
      <c r="D2391" s="4">
        <f t="shared" si="1243"/>
        <v>1.9682332877955767E-3</v>
      </c>
      <c r="E2391" s="4">
        <f t="shared" si="1243"/>
        <v>1.9682332877955767E-3</v>
      </c>
      <c r="F2391" s="4">
        <f t="shared" si="1243"/>
        <v>1.9682332877955767E-3</v>
      </c>
      <c r="G2391" s="4">
        <f t="shared" si="1243"/>
        <v>1.9682332877955767E-3</v>
      </c>
      <c r="H2391" s="4">
        <f t="shared" si="1243"/>
        <v>1.9682332877955767E-3</v>
      </c>
      <c r="I2391" s="4">
        <f t="shared" si="1243"/>
        <v>1.9682332877955767E-3</v>
      </c>
      <c r="J2391" s="4">
        <f t="shared" si="1243"/>
        <v>1.9682332877955767E-3</v>
      </c>
      <c r="K2391" s="4">
        <f t="shared" si="1243"/>
        <v>1.9682332877955767E-3</v>
      </c>
      <c r="L2391" s="4">
        <f t="shared" si="1243"/>
        <v>1.9682332877955767E-3</v>
      </c>
      <c r="M2391" s="4">
        <f t="shared" si="1243"/>
        <v>1.9682332877955767E-3</v>
      </c>
      <c r="N2391" t="s">
        <v>242</v>
      </c>
      <c r="O2391" t="s">
        <v>386</v>
      </c>
      <c r="P2391" t="s">
        <v>384</v>
      </c>
      <c r="Q2391" s="4" t="s">
        <v>650</v>
      </c>
    </row>
    <row r="2392" spans="1:17" x14ac:dyDescent="0.25">
      <c r="A2392" t="s">
        <v>384</v>
      </c>
      <c r="B2392" t="s">
        <v>89</v>
      </c>
      <c r="C2392" s="4">
        <f t="shared" ref="C2392:M2392" si="1244">(0.161885636831319/(0.139645918974656+0.161885636831319+0.336648016439843)) * 0.899479402554775%</f>
        <v>2.281690016914958E-3</v>
      </c>
      <c r="D2392" s="4">
        <f t="shared" si="1244"/>
        <v>2.281690016914958E-3</v>
      </c>
      <c r="E2392" s="4">
        <f t="shared" si="1244"/>
        <v>2.281690016914958E-3</v>
      </c>
      <c r="F2392" s="4">
        <f t="shared" si="1244"/>
        <v>2.281690016914958E-3</v>
      </c>
      <c r="G2392" s="4">
        <f t="shared" si="1244"/>
        <v>2.281690016914958E-3</v>
      </c>
      <c r="H2392" s="4">
        <f t="shared" si="1244"/>
        <v>2.281690016914958E-3</v>
      </c>
      <c r="I2392" s="4">
        <f t="shared" si="1244"/>
        <v>2.281690016914958E-3</v>
      </c>
      <c r="J2392" s="4">
        <f t="shared" si="1244"/>
        <v>2.281690016914958E-3</v>
      </c>
      <c r="K2392" s="4">
        <f t="shared" si="1244"/>
        <v>2.281690016914958E-3</v>
      </c>
      <c r="L2392" s="4">
        <f t="shared" si="1244"/>
        <v>2.281690016914958E-3</v>
      </c>
      <c r="M2392" s="4">
        <f t="shared" si="1244"/>
        <v>2.281690016914958E-3</v>
      </c>
      <c r="N2392" t="s">
        <v>242</v>
      </c>
      <c r="O2392" t="s">
        <v>317</v>
      </c>
      <c r="P2392" t="s">
        <v>384</v>
      </c>
      <c r="Q2392" s="4" t="s">
        <v>650</v>
      </c>
    </row>
    <row r="2393" spans="1:17" x14ac:dyDescent="0.25">
      <c r="A2393" t="s">
        <v>384</v>
      </c>
      <c r="B2393" t="s">
        <v>89</v>
      </c>
      <c r="C2393" s="4">
        <f t="shared" ref="C2393:M2393" si="1245">(0.336648016439843/(0.139645918974656+0.161885636831319+0.336648016439843)) * 0.899479402554775%</f>
        <v>4.7448707208372154E-3</v>
      </c>
      <c r="D2393" s="4">
        <f t="shared" si="1245"/>
        <v>4.7448707208372154E-3</v>
      </c>
      <c r="E2393" s="4">
        <f t="shared" si="1245"/>
        <v>4.7448707208372154E-3</v>
      </c>
      <c r="F2393" s="4">
        <f t="shared" si="1245"/>
        <v>4.7448707208372154E-3</v>
      </c>
      <c r="G2393" s="4">
        <f t="shared" si="1245"/>
        <v>4.7448707208372154E-3</v>
      </c>
      <c r="H2393" s="4">
        <f t="shared" si="1245"/>
        <v>4.7448707208372154E-3</v>
      </c>
      <c r="I2393" s="4">
        <f t="shared" si="1245"/>
        <v>4.7448707208372154E-3</v>
      </c>
      <c r="J2393" s="4">
        <f t="shared" si="1245"/>
        <v>4.7448707208372154E-3</v>
      </c>
      <c r="K2393" s="4">
        <f t="shared" si="1245"/>
        <v>4.7448707208372154E-3</v>
      </c>
      <c r="L2393" s="4">
        <f t="shared" si="1245"/>
        <v>4.7448707208372154E-3</v>
      </c>
      <c r="M2393" s="4">
        <f t="shared" si="1245"/>
        <v>4.7448707208372154E-3</v>
      </c>
      <c r="N2393" t="s">
        <v>242</v>
      </c>
      <c r="O2393" t="s">
        <v>289</v>
      </c>
      <c r="P2393" t="s">
        <v>384</v>
      </c>
      <c r="Q2393" s="4" t="s">
        <v>650</v>
      </c>
    </row>
    <row r="2394" spans="1:17" x14ac:dyDescent="0.25">
      <c r="A2394" t="s">
        <v>384</v>
      </c>
      <c r="B2394" t="s">
        <v>154</v>
      </c>
      <c r="C2394" s="4">
        <f t="shared" ref="C2394:M2394" si="1246">(0.139645918974656/(0.139645918974656+0.161885636831319+0.336648016439843)) * 3.52753447985117%</f>
        <v>7.7189213753751556E-3</v>
      </c>
      <c r="D2394" s="4">
        <f t="shared" si="1246"/>
        <v>7.7189213753751556E-3</v>
      </c>
      <c r="E2394" s="4">
        <f t="shared" si="1246"/>
        <v>7.7189213753751556E-3</v>
      </c>
      <c r="F2394" s="4">
        <f t="shared" si="1246"/>
        <v>7.7189213753751556E-3</v>
      </c>
      <c r="G2394" s="4">
        <f t="shared" si="1246"/>
        <v>7.7189213753751556E-3</v>
      </c>
      <c r="H2394" s="4">
        <f t="shared" si="1246"/>
        <v>7.7189213753751556E-3</v>
      </c>
      <c r="I2394" s="4">
        <f t="shared" si="1246"/>
        <v>7.7189213753751556E-3</v>
      </c>
      <c r="J2394" s="4">
        <f t="shared" si="1246"/>
        <v>7.7189213753751556E-3</v>
      </c>
      <c r="K2394" s="4">
        <f t="shared" si="1246"/>
        <v>7.7189213753751556E-3</v>
      </c>
      <c r="L2394" s="4">
        <f t="shared" si="1246"/>
        <v>7.7189213753751556E-3</v>
      </c>
      <c r="M2394" s="4">
        <f t="shared" si="1246"/>
        <v>7.7189213753751556E-3</v>
      </c>
      <c r="N2394" t="s">
        <v>242</v>
      </c>
      <c r="O2394" t="s">
        <v>386</v>
      </c>
      <c r="P2394" t="s">
        <v>384</v>
      </c>
      <c r="Q2394" s="4" t="s">
        <v>650</v>
      </c>
    </row>
    <row r="2395" spans="1:17" x14ac:dyDescent="0.25">
      <c r="A2395" t="s">
        <v>384</v>
      </c>
      <c r="B2395" t="s">
        <v>154</v>
      </c>
      <c r="C2395" s="4">
        <f t="shared" ref="C2395:M2395" si="1247">(0.161885636831319/(0.139645918974656+0.161885636831319+0.336648016439843)) * 3.52753447985117%</f>
        <v>8.9482206975935452E-3</v>
      </c>
      <c r="D2395" s="4">
        <f t="shared" si="1247"/>
        <v>8.9482206975935452E-3</v>
      </c>
      <c r="E2395" s="4">
        <f t="shared" si="1247"/>
        <v>8.9482206975935452E-3</v>
      </c>
      <c r="F2395" s="4">
        <f t="shared" si="1247"/>
        <v>8.9482206975935452E-3</v>
      </c>
      <c r="G2395" s="4">
        <f t="shared" si="1247"/>
        <v>8.9482206975935452E-3</v>
      </c>
      <c r="H2395" s="4">
        <f t="shared" si="1247"/>
        <v>8.9482206975935452E-3</v>
      </c>
      <c r="I2395" s="4">
        <f t="shared" si="1247"/>
        <v>8.9482206975935452E-3</v>
      </c>
      <c r="J2395" s="4">
        <f t="shared" si="1247"/>
        <v>8.9482206975935452E-3</v>
      </c>
      <c r="K2395" s="4">
        <f t="shared" si="1247"/>
        <v>8.9482206975935452E-3</v>
      </c>
      <c r="L2395" s="4">
        <f t="shared" si="1247"/>
        <v>8.9482206975935452E-3</v>
      </c>
      <c r="M2395" s="4">
        <f t="shared" si="1247"/>
        <v>8.9482206975935452E-3</v>
      </c>
      <c r="N2395" t="s">
        <v>242</v>
      </c>
      <c r="O2395" t="s">
        <v>317</v>
      </c>
      <c r="P2395" t="s">
        <v>384</v>
      </c>
      <c r="Q2395" s="4" t="s">
        <v>650</v>
      </c>
    </row>
    <row r="2396" spans="1:17" x14ac:dyDescent="0.25">
      <c r="A2396" t="s">
        <v>384</v>
      </c>
      <c r="B2396" t="s">
        <v>154</v>
      </c>
      <c r="C2396" s="4">
        <f t="shared" ref="C2396:M2396" si="1248">(0.336648016439843/(0.139645918974656+0.161885636831319+0.336648016439843)) * 3.52753447985117%</f>
        <v>1.8608202725543001E-2</v>
      </c>
      <c r="D2396" s="4">
        <f t="shared" si="1248"/>
        <v>1.8608202725543001E-2</v>
      </c>
      <c r="E2396" s="4">
        <f t="shared" si="1248"/>
        <v>1.8608202725543001E-2</v>
      </c>
      <c r="F2396" s="4">
        <f t="shared" si="1248"/>
        <v>1.8608202725543001E-2</v>
      </c>
      <c r="G2396" s="4">
        <f t="shared" si="1248"/>
        <v>1.8608202725543001E-2</v>
      </c>
      <c r="H2396" s="4">
        <f t="shared" si="1248"/>
        <v>1.8608202725543001E-2</v>
      </c>
      <c r="I2396" s="4">
        <f t="shared" si="1248"/>
        <v>1.8608202725543001E-2</v>
      </c>
      <c r="J2396" s="4">
        <f t="shared" si="1248"/>
        <v>1.8608202725543001E-2</v>
      </c>
      <c r="K2396" s="4">
        <f t="shared" si="1248"/>
        <v>1.8608202725543001E-2</v>
      </c>
      <c r="L2396" s="4">
        <f t="shared" si="1248"/>
        <v>1.8608202725543001E-2</v>
      </c>
      <c r="M2396" s="4">
        <f t="shared" si="1248"/>
        <v>1.8608202725543001E-2</v>
      </c>
      <c r="N2396" t="s">
        <v>242</v>
      </c>
      <c r="O2396" t="s">
        <v>289</v>
      </c>
      <c r="P2396" t="s">
        <v>384</v>
      </c>
      <c r="Q2396" s="4" t="s">
        <v>650</v>
      </c>
    </row>
    <row r="2397" spans="1:17" x14ac:dyDescent="0.25">
      <c r="A2397" t="s">
        <v>384</v>
      </c>
      <c r="B2397" t="s">
        <v>91</v>
      </c>
      <c r="C2397" s="4">
        <f t="shared" ref="C2397:M2397" si="1249">(0.139645918974656/(0.139645918974656+0.161885636831319+0.336648016439843)) * 0.235243252666358%</f>
        <v>5.1475731329938428E-4</v>
      </c>
      <c r="D2397" s="4">
        <f t="shared" si="1249"/>
        <v>5.1475731329938428E-4</v>
      </c>
      <c r="E2397" s="4">
        <f t="shared" si="1249"/>
        <v>5.1475731329938428E-4</v>
      </c>
      <c r="F2397" s="4">
        <f t="shared" si="1249"/>
        <v>5.1475731329938428E-4</v>
      </c>
      <c r="G2397" s="4">
        <f t="shared" si="1249"/>
        <v>5.1475731329938428E-4</v>
      </c>
      <c r="H2397" s="4">
        <f t="shared" si="1249"/>
        <v>5.1475731329938428E-4</v>
      </c>
      <c r="I2397" s="4">
        <f t="shared" si="1249"/>
        <v>5.1475731329938428E-4</v>
      </c>
      <c r="J2397" s="4">
        <f t="shared" si="1249"/>
        <v>5.1475731329938428E-4</v>
      </c>
      <c r="K2397" s="4">
        <f t="shared" si="1249"/>
        <v>5.1475731329938428E-4</v>
      </c>
      <c r="L2397" s="4">
        <f t="shared" si="1249"/>
        <v>5.1475731329938428E-4</v>
      </c>
      <c r="M2397" s="4">
        <f t="shared" si="1249"/>
        <v>5.1475731329938428E-4</v>
      </c>
      <c r="N2397" t="s">
        <v>242</v>
      </c>
      <c r="O2397" t="s">
        <v>386</v>
      </c>
      <c r="P2397" t="s">
        <v>384</v>
      </c>
      <c r="Q2397" s="4" t="s">
        <v>650</v>
      </c>
    </row>
    <row r="2398" spans="1:17" x14ac:dyDescent="0.25">
      <c r="A2398" t="s">
        <v>384</v>
      </c>
      <c r="B2398" t="s">
        <v>91</v>
      </c>
      <c r="C2398" s="4">
        <f t="shared" ref="C2398:M2398" si="1250">(0.161885636831319/(0.139645918974656+0.161885636831319+0.336648016439843)) * 0.235243252666358%</f>
        <v>5.9673648960821644E-4</v>
      </c>
      <c r="D2398" s="4">
        <f t="shared" si="1250"/>
        <v>5.9673648960821644E-4</v>
      </c>
      <c r="E2398" s="4">
        <f t="shared" si="1250"/>
        <v>5.9673648960821644E-4</v>
      </c>
      <c r="F2398" s="4">
        <f t="shared" si="1250"/>
        <v>5.9673648960821644E-4</v>
      </c>
      <c r="G2398" s="4">
        <f t="shared" si="1250"/>
        <v>5.9673648960821644E-4</v>
      </c>
      <c r="H2398" s="4">
        <f t="shared" si="1250"/>
        <v>5.9673648960821644E-4</v>
      </c>
      <c r="I2398" s="4">
        <f t="shared" si="1250"/>
        <v>5.9673648960821644E-4</v>
      </c>
      <c r="J2398" s="4">
        <f t="shared" si="1250"/>
        <v>5.9673648960821644E-4</v>
      </c>
      <c r="K2398" s="4">
        <f t="shared" si="1250"/>
        <v>5.9673648960821644E-4</v>
      </c>
      <c r="L2398" s="4">
        <f t="shared" si="1250"/>
        <v>5.9673648960821644E-4</v>
      </c>
      <c r="M2398" s="4">
        <f t="shared" si="1250"/>
        <v>5.9673648960821644E-4</v>
      </c>
      <c r="N2398" t="s">
        <v>242</v>
      </c>
      <c r="O2398" t="s">
        <v>317</v>
      </c>
      <c r="P2398" t="s">
        <v>384</v>
      </c>
      <c r="Q2398" s="4" t="s">
        <v>650</v>
      </c>
    </row>
    <row r="2399" spans="1:17" x14ac:dyDescent="0.25">
      <c r="A2399" t="s">
        <v>384</v>
      </c>
      <c r="B2399" t="s">
        <v>91</v>
      </c>
      <c r="C2399" s="4">
        <f t="shared" ref="C2399:M2399" si="1251">(0.336648016439843/(0.139645918974656+0.161885636831319+0.336648016439843)) * 0.235243252666358%</f>
        <v>1.2409387237559794E-3</v>
      </c>
      <c r="D2399" s="4">
        <f t="shared" si="1251"/>
        <v>1.2409387237559794E-3</v>
      </c>
      <c r="E2399" s="4">
        <f t="shared" si="1251"/>
        <v>1.2409387237559794E-3</v>
      </c>
      <c r="F2399" s="4">
        <f t="shared" si="1251"/>
        <v>1.2409387237559794E-3</v>
      </c>
      <c r="G2399" s="4">
        <f t="shared" si="1251"/>
        <v>1.2409387237559794E-3</v>
      </c>
      <c r="H2399" s="4">
        <f t="shared" si="1251"/>
        <v>1.2409387237559794E-3</v>
      </c>
      <c r="I2399" s="4">
        <f t="shared" si="1251"/>
        <v>1.2409387237559794E-3</v>
      </c>
      <c r="J2399" s="4">
        <f t="shared" si="1251"/>
        <v>1.2409387237559794E-3</v>
      </c>
      <c r="K2399" s="4">
        <f t="shared" si="1251"/>
        <v>1.2409387237559794E-3</v>
      </c>
      <c r="L2399" s="4">
        <f t="shared" si="1251"/>
        <v>1.2409387237559794E-3</v>
      </c>
      <c r="M2399" s="4">
        <f t="shared" si="1251"/>
        <v>1.2409387237559794E-3</v>
      </c>
      <c r="N2399" t="s">
        <v>242</v>
      </c>
      <c r="O2399" t="s">
        <v>289</v>
      </c>
      <c r="P2399" t="s">
        <v>384</v>
      </c>
      <c r="Q2399" s="4" t="s">
        <v>650</v>
      </c>
    </row>
    <row r="2400" spans="1:17" x14ac:dyDescent="0.25">
      <c r="A2400" t="s">
        <v>384</v>
      </c>
      <c r="B2400" t="s">
        <v>93</v>
      </c>
      <c r="C2400" s="4">
        <f t="shared" ref="C2400:M2400" si="1252">(0.139645918974656/(0.139645918974656+0.161885636831319+0.336648016439843)) * 0.450404160289305%</f>
        <v>9.8557060753710814E-4</v>
      </c>
      <c r="D2400" s="4">
        <f t="shared" si="1252"/>
        <v>9.8557060753710814E-4</v>
      </c>
      <c r="E2400" s="4">
        <f t="shared" si="1252"/>
        <v>9.8557060753710814E-4</v>
      </c>
      <c r="F2400" s="4">
        <f t="shared" si="1252"/>
        <v>9.8557060753710814E-4</v>
      </c>
      <c r="G2400" s="4">
        <f t="shared" si="1252"/>
        <v>9.8557060753710814E-4</v>
      </c>
      <c r="H2400" s="4">
        <f t="shared" si="1252"/>
        <v>9.8557060753710814E-4</v>
      </c>
      <c r="I2400" s="4">
        <f t="shared" si="1252"/>
        <v>9.8557060753710814E-4</v>
      </c>
      <c r="J2400" s="4">
        <f t="shared" si="1252"/>
        <v>9.8557060753710814E-4</v>
      </c>
      <c r="K2400" s="4">
        <f t="shared" si="1252"/>
        <v>9.8557060753710814E-4</v>
      </c>
      <c r="L2400" s="4">
        <f t="shared" si="1252"/>
        <v>9.8557060753710814E-4</v>
      </c>
      <c r="M2400" s="4">
        <f t="shared" si="1252"/>
        <v>9.8557060753710814E-4</v>
      </c>
      <c r="N2400" t="s">
        <v>242</v>
      </c>
      <c r="O2400" t="s">
        <v>386</v>
      </c>
      <c r="P2400" t="s">
        <v>384</v>
      </c>
      <c r="Q2400" s="4" t="s">
        <v>650</v>
      </c>
    </row>
    <row r="2401" spans="1:17" x14ac:dyDescent="0.25">
      <c r="A2401" t="s">
        <v>384</v>
      </c>
      <c r="B2401" t="s">
        <v>93</v>
      </c>
      <c r="C2401" s="4">
        <f t="shared" ref="C2401:M2401" si="1253">(0.161885636831319/(0.139645918974656+0.161885636831319+0.336648016439843)) * 0.450404160289305%</f>
        <v>1.1425305273140922E-3</v>
      </c>
      <c r="D2401" s="4">
        <f t="shared" si="1253"/>
        <v>1.1425305273140922E-3</v>
      </c>
      <c r="E2401" s="4">
        <f t="shared" si="1253"/>
        <v>1.1425305273140922E-3</v>
      </c>
      <c r="F2401" s="4">
        <f t="shared" si="1253"/>
        <v>1.1425305273140922E-3</v>
      </c>
      <c r="G2401" s="4">
        <f t="shared" si="1253"/>
        <v>1.1425305273140922E-3</v>
      </c>
      <c r="H2401" s="4">
        <f t="shared" si="1253"/>
        <v>1.1425305273140922E-3</v>
      </c>
      <c r="I2401" s="4">
        <f t="shared" si="1253"/>
        <v>1.1425305273140922E-3</v>
      </c>
      <c r="J2401" s="4">
        <f t="shared" si="1253"/>
        <v>1.1425305273140922E-3</v>
      </c>
      <c r="K2401" s="4">
        <f t="shared" si="1253"/>
        <v>1.1425305273140922E-3</v>
      </c>
      <c r="L2401" s="4">
        <f t="shared" si="1253"/>
        <v>1.1425305273140922E-3</v>
      </c>
      <c r="M2401" s="4">
        <f t="shared" si="1253"/>
        <v>1.1425305273140922E-3</v>
      </c>
      <c r="N2401" t="s">
        <v>242</v>
      </c>
      <c r="O2401" t="s">
        <v>317</v>
      </c>
      <c r="P2401" t="s">
        <v>384</v>
      </c>
      <c r="Q2401" s="4" t="s">
        <v>650</v>
      </c>
    </row>
    <row r="2402" spans="1:17" x14ac:dyDescent="0.25">
      <c r="A2402" t="s">
        <v>384</v>
      </c>
      <c r="B2402" t="s">
        <v>93</v>
      </c>
      <c r="C2402" s="4">
        <f t="shared" ref="C2402:M2402" si="1254">(0.336648016439843/(0.139645918974656+0.161885636831319+0.336648016439843)) * 0.450404160289305%</f>
        <v>2.3759404680418496E-3</v>
      </c>
      <c r="D2402" s="4">
        <f t="shared" si="1254"/>
        <v>2.3759404680418496E-3</v>
      </c>
      <c r="E2402" s="4">
        <f t="shared" si="1254"/>
        <v>2.3759404680418496E-3</v>
      </c>
      <c r="F2402" s="4">
        <f t="shared" si="1254"/>
        <v>2.3759404680418496E-3</v>
      </c>
      <c r="G2402" s="4">
        <f t="shared" si="1254"/>
        <v>2.3759404680418496E-3</v>
      </c>
      <c r="H2402" s="4">
        <f t="shared" si="1254"/>
        <v>2.3759404680418496E-3</v>
      </c>
      <c r="I2402" s="4">
        <f t="shared" si="1254"/>
        <v>2.3759404680418496E-3</v>
      </c>
      <c r="J2402" s="4">
        <f t="shared" si="1254"/>
        <v>2.3759404680418496E-3</v>
      </c>
      <c r="K2402" s="4">
        <f t="shared" si="1254"/>
        <v>2.3759404680418496E-3</v>
      </c>
      <c r="L2402" s="4">
        <f t="shared" si="1254"/>
        <v>2.3759404680418496E-3</v>
      </c>
      <c r="M2402" s="4">
        <f t="shared" si="1254"/>
        <v>2.3759404680418496E-3</v>
      </c>
      <c r="N2402" t="s">
        <v>242</v>
      </c>
      <c r="O2402" t="s">
        <v>289</v>
      </c>
      <c r="P2402" t="s">
        <v>384</v>
      </c>
      <c r="Q2402" s="4" t="s">
        <v>650</v>
      </c>
    </row>
    <row r="2403" spans="1:17" x14ac:dyDescent="0.25">
      <c r="A2403" t="s">
        <v>384</v>
      </c>
      <c r="B2403" t="s">
        <v>196</v>
      </c>
      <c r="C2403" s="4">
        <f t="shared" ref="C2403:M2403" si="1255">(0.139645918974656/(0.139645918974656+0.161885636831319+0.336648016439843)) * 0.744697596449527%</f>
        <v>1.6295410373046958E-3</v>
      </c>
      <c r="D2403" s="4">
        <f t="shared" si="1255"/>
        <v>1.6295410373046958E-3</v>
      </c>
      <c r="E2403" s="4">
        <f t="shared" si="1255"/>
        <v>1.6295410373046958E-3</v>
      </c>
      <c r="F2403" s="4">
        <f t="shared" si="1255"/>
        <v>1.6295410373046958E-3</v>
      </c>
      <c r="G2403" s="4">
        <f t="shared" si="1255"/>
        <v>1.6295410373046958E-3</v>
      </c>
      <c r="H2403" s="4">
        <f t="shared" si="1255"/>
        <v>1.6295410373046958E-3</v>
      </c>
      <c r="I2403" s="4">
        <f t="shared" si="1255"/>
        <v>1.6295410373046958E-3</v>
      </c>
      <c r="J2403" s="4">
        <f t="shared" si="1255"/>
        <v>1.6295410373046958E-3</v>
      </c>
      <c r="K2403" s="4">
        <f t="shared" si="1255"/>
        <v>1.6295410373046958E-3</v>
      </c>
      <c r="L2403" s="4">
        <f t="shared" si="1255"/>
        <v>1.6295410373046958E-3</v>
      </c>
      <c r="M2403" s="4">
        <f t="shared" si="1255"/>
        <v>1.6295410373046958E-3</v>
      </c>
      <c r="N2403" t="s">
        <v>242</v>
      </c>
      <c r="O2403" t="s">
        <v>386</v>
      </c>
      <c r="P2403" t="s">
        <v>384</v>
      </c>
      <c r="Q2403" s="4" t="s">
        <v>650</v>
      </c>
    </row>
    <row r="2404" spans="1:17" x14ac:dyDescent="0.25">
      <c r="A2404" t="s">
        <v>384</v>
      </c>
      <c r="B2404" t="s">
        <v>196</v>
      </c>
      <c r="C2404" s="4">
        <f t="shared" ref="C2404:M2404" si="1256">(0.161885636831319/(0.139645918974656+0.161885636831319+0.336648016439843)) * 0.744697596449527%</f>
        <v>1.8890583448751923E-3</v>
      </c>
      <c r="D2404" s="4">
        <f t="shared" si="1256"/>
        <v>1.8890583448751923E-3</v>
      </c>
      <c r="E2404" s="4">
        <f t="shared" si="1256"/>
        <v>1.8890583448751923E-3</v>
      </c>
      <c r="F2404" s="4">
        <f t="shared" si="1256"/>
        <v>1.8890583448751923E-3</v>
      </c>
      <c r="G2404" s="4">
        <f t="shared" si="1256"/>
        <v>1.8890583448751923E-3</v>
      </c>
      <c r="H2404" s="4">
        <f t="shared" si="1256"/>
        <v>1.8890583448751923E-3</v>
      </c>
      <c r="I2404" s="4">
        <f t="shared" si="1256"/>
        <v>1.8890583448751923E-3</v>
      </c>
      <c r="J2404" s="4">
        <f t="shared" si="1256"/>
        <v>1.8890583448751923E-3</v>
      </c>
      <c r="K2404" s="4">
        <f t="shared" si="1256"/>
        <v>1.8890583448751923E-3</v>
      </c>
      <c r="L2404" s="4">
        <f t="shared" si="1256"/>
        <v>1.8890583448751923E-3</v>
      </c>
      <c r="M2404" s="4">
        <f t="shared" si="1256"/>
        <v>1.8890583448751923E-3</v>
      </c>
      <c r="N2404" t="s">
        <v>242</v>
      </c>
      <c r="O2404" t="s">
        <v>317</v>
      </c>
      <c r="P2404" t="s">
        <v>384</v>
      </c>
      <c r="Q2404" s="4" t="s">
        <v>650</v>
      </c>
    </row>
    <row r="2405" spans="1:17" x14ac:dyDescent="0.25">
      <c r="A2405" t="s">
        <v>384</v>
      </c>
      <c r="B2405" t="s">
        <v>196</v>
      </c>
      <c r="C2405" s="4">
        <f t="shared" ref="C2405:M2405" si="1257">(0.336648016439843/(0.139645918974656+0.161885636831319+0.336648016439843)) * 0.744697596449527%</f>
        <v>3.9283765823153825E-3</v>
      </c>
      <c r="D2405" s="4">
        <f t="shared" si="1257"/>
        <v>3.9283765823153825E-3</v>
      </c>
      <c r="E2405" s="4">
        <f t="shared" si="1257"/>
        <v>3.9283765823153825E-3</v>
      </c>
      <c r="F2405" s="4">
        <f t="shared" si="1257"/>
        <v>3.9283765823153825E-3</v>
      </c>
      <c r="G2405" s="4">
        <f t="shared" si="1257"/>
        <v>3.9283765823153825E-3</v>
      </c>
      <c r="H2405" s="4">
        <f t="shared" si="1257"/>
        <v>3.9283765823153825E-3</v>
      </c>
      <c r="I2405" s="4">
        <f t="shared" si="1257"/>
        <v>3.9283765823153825E-3</v>
      </c>
      <c r="J2405" s="4">
        <f t="shared" si="1257"/>
        <v>3.9283765823153825E-3</v>
      </c>
      <c r="K2405" s="4">
        <f t="shared" si="1257"/>
        <v>3.9283765823153825E-3</v>
      </c>
      <c r="L2405" s="4">
        <f t="shared" si="1257"/>
        <v>3.9283765823153825E-3</v>
      </c>
      <c r="M2405" s="4">
        <f t="shared" si="1257"/>
        <v>3.9283765823153825E-3</v>
      </c>
      <c r="N2405" t="s">
        <v>242</v>
      </c>
      <c r="O2405" t="s">
        <v>289</v>
      </c>
      <c r="P2405" t="s">
        <v>384</v>
      </c>
      <c r="Q2405" s="4" t="s">
        <v>650</v>
      </c>
    </row>
    <row r="2406" spans="1:17" x14ac:dyDescent="0.25">
      <c r="A2406" t="s">
        <v>384</v>
      </c>
      <c r="B2406" t="s">
        <v>97</v>
      </c>
      <c r="C2406" s="4">
        <f t="shared" ref="C2406:M2406" si="1258">(0.139645918974656/(0.139645918974656+0.161885636831319+0.336648016439843)) * 0.00206353730409086%</f>
        <v>4.5154150289419683E-6</v>
      </c>
      <c r="D2406" s="4">
        <f t="shared" si="1258"/>
        <v>4.5154150289419683E-6</v>
      </c>
      <c r="E2406" s="4">
        <f t="shared" si="1258"/>
        <v>4.5154150289419683E-6</v>
      </c>
      <c r="F2406" s="4">
        <f t="shared" si="1258"/>
        <v>4.5154150289419683E-6</v>
      </c>
      <c r="G2406" s="4">
        <f t="shared" si="1258"/>
        <v>4.5154150289419683E-6</v>
      </c>
      <c r="H2406" s="4">
        <f t="shared" si="1258"/>
        <v>4.5154150289419683E-6</v>
      </c>
      <c r="I2406" s="4">
        <f t="shared" si="1258"/>
        <v>4.5154150289419683E-6</v>
      </c>
      <c r="J2406" s="4">
        <f t="shared" si="1258"/>
        <v>4.5154150289419683E-6</v>
      </c>
      <c r="K2406" s="4">
        <f t="shared" si="1258"/>
        <v>4.5154150289419683E-6</v>
      </c>
      <c r="L2406" s="4">
        <f t="shared" si="1258"/>
        <v>4.5154150289419683E-6</v>
      </c>
      <c r="M2406" s="4">
        <f t="shared" si="1258"/>
        <v>4.5154150289419683E-6</v>
      </c>
      <c r="N2406" t="s">
        <v>242</v>
      </c>
      <c r="O2406" t="s">
        <v>386</v>
      </c>
      <c r="P2406" t="s">
        <v>384</v>
      </c>
      <c r="Q2406" s="4" t="s">
        <v>650</v>
      </c>
    </row>
    <row r="2407" spans="1:17" x14ac:dyDescent="0.25">
      <c r="A2407" t="s">
        <v>384</v>
      </c>
      <c r="B2407" t="s">
        <v>97</v>
      </c>
      <c r="C2407" s="4">
        <f t="shared" ref="C2407:M2407" si="1259">(0.161885636831319/(0.139645918974656+0.161885636831319+0.336648016439843)) * 0.00206353730409086%</f>
        <v>5.2345306105983901E-6</v>
      </c>
      <c r="D2407" s="4">
        <f t="shared" si="1259"/>
        <v>5.2345306105983901E-6</v>
      </c>
      <c r="E2407" s="4">
        <f t="shared" si="1259"/>
        <v>5.2345306105983901E-6</v>
      </c>
      <c r="F2407" s="4">
        <f t="shared" si="1259"/>
        <v>5.2345306105983901E-6</v>
      </c>
      <c r="G2407" s="4">
        <f t="shared" si="1259"/>
        <v>5.2345306105983901E-6</v>
      </c>
      <c r="H2407" s="4">
        <f t="shared" si="1259"/>
        <v>5.2345306105983901E-6</v>
      </c>
      <c r="I2407" s="4">
        <f t="shared" si="1259"/>
        <v>5.2345306105983901E-6</v>
      </c>
      <c r="J2407" s="4">
        <f t="shared" si="1259"/>
        <v>5.2345306105983901E-6</v>
      </c>
      <c r="K2407" s="4">
        <f t="shared" si="1259"/>
        <v>5.2345306105983901E-6</v>
      </c>
      <c r="L2407" s="4">
        <f t="shared" si="1259"/>
        <v>5.2345306105983901E-6</v>
      </c>
      <c r="M2407" s="4">
        <f t="shared" si="1259"/>
        <v>5.2345306105983901E-6</v>
      </c>
      <c r="N2407" t="s">
        <v>242</v>
      </c>
      <c r="O2407" t="s">
        <v>317</v>
      </c>
      <c r="P2407" t="s">
        <v>384</v>
      </c>
      <c r="Q2407" s="4" t="s">
        <v>650</v>
      </c>
    </row>
    <row r="2408" spans="1:17" x14ac:dyDescent="0.25">
      <c r="A2408" t="s">
        <v>384</v>
      </c>
      <c r="B2408" t="s">
        <v>97</v>
      </c>
      <c r="C2408" s="4">
        <f t="shared" ref="C2408:M2408" si="1260">(0.336648016439843/(0.139645918974656+0.161885636831319+0.336648016439843)) * 0.00206353730409086%</f>
        <v>1.0885427401368242E-5</v>
      </c>
      <c r="D2408" s="4">
        <f t="shared" si="1260"/>
        <v>1.0885427401368242E-5</v>
      </c>
      <c r="E2408" s="4">
        <f t="shared" si="1260"/>
        <v>1.0885427401368242E-5</v>
      </c>
      <c r="F2408" s="4">
        <f t="shared" si="1260"/>
        <v>1.0885427401368242E-5</v>
      </c>
      <c r="G2408" s="4">
        <f t="shared" si="1260"/>
        <v>1.0885427401368242E-5</v>
      </c>
      <c r="H2408" s="4">
        <f t="shared" si="1260"/>
        <v>1.0885427401368242E-5</v>
      </c>
      <c r="I2408" s="4">
        <f t="shared" si="1260"/>
        <v>1.0885427401368242E-5</v>
      </c>
      <c r="J2408" s="4">
        <f t="shared" si="1260"/>
        <v>1.0885427401368242E-5</v>
      </c>
      <c r="K2408" s="4">
        <f t="shared" si="1260"/>
        <v>1.0885427401368242E-5</v>
      </c>
      <c r="L2408" s="4">
        <f t="shared" si="1260"/>
        <v>1.0885427401368242E-5</v>
      </c>
      <c r="M2408" s="4">
        <f t="shared" si="1260"/>
        <v>1.0885427401368242E-5</v>
      </c>
      <c r="N2408" t="s">
        <v>242</v>
      </c>
      <c r="O2408" t="s">
        <v>289</v>
      </c>
      <c r="P2408" t="s">
        <v>384</v>
      </c>
      <c r="Q2408" s="4" t="s">
        <v>650</v>
      </c>
    </row>
    <row r="2409" spans="1:17" x14ac:dyDescent="0.25">
      <c r="A2409" t="s">
        <v>384</v>
      </c>
      <c r="B2409" t="s">
        <v>98</v>
      </c>
      <c r="C2409" s="4">
        <f t="shared" ref="C2409:M2409" si="1261">(0.139645918974656/(0.139645918974656+0.161885636831319+0.336648016439843)) * 19.8784675577681%</f>
        <v>4.3497896056803827E-2</v>
      </c>
      <c r="D2409" s="4">
        <f t="shared" si="1261"/>
        <v>4.3497896056803827E-2</v>
      </c>
      <c r="E2409" s="4">
        <f t="shared" si="1261"/>
        <v>4.3497896056803827E-2</v>
      </c>
      <c r="F2409" s="4">
        <f t="shared" si="1261"/>
        <v>4.3497896056803827E-2</v>
      </c>
      <c r="G2409" s="4">
        <f t="shared" si="1261"/>
        <v>4.3497896056803827E-2</v>
      </c>
      <c r="H2409" s="4">
        <f t="shared" si="1261"/>
        <v>4.3497896056803827E-2</v>
      </c>
      <c r="I2409" s="4">
        <f t="shared" si="1261"/>
        <v>4.3497896056803827E-2</v>
      </c>
      <c r="J2409" s="4">
        <f t="shared" si="1261"/>
        <v>4.3497896056803827E-2</v>
      </c>
      <c r="K2409" s="4">
        <f t="shared" si="1261"/>
        <v>4.3497896056803827E-2</v>
      </c>
      <c r="L2409" s="4">
        <f t="shared" si="1261"/>
        <v>4.3497896056803827E-2</v>
      </c>
      <c r="M2409" s="4">
        <f t="shared" si="1261"/>
        <v>4.3497896056803827E-2</v>
      </c>
      <c r="N2409" t="s">
        <v>242</v>
      </c>
      <c r="O2409" t="s">
        <v>386</v>
      </c>
      <c r="P2409" t="s">
        <v>384</v>
      </c>
      <c r="Q2409" s="4" t="s">
        <v>650</v>
      </c>
    </row>
    <row r="2410" spans="1:17" x14ac:dyDescent="0.25">
      <c r="A2410" t="s">
        <v>384</v>
      </c>
      <c r="B2410" t="s">
        <v>98</v>
      </c>
      <c r="C2410" s="4">
        <f t="shared" ref="C2410:M2410" si="1262">(0.161885636831319/(0.139645918974656+0.161885636831319+0.336648016439843)) * 19.8784675577681%</f>
        <v>5.0425280278016481E-2</v>
      </c>
      <c r="D2410" s="4">
        <f t="shared" si="1262"/>
        <v>5.0425280278016481E-2</v>
      </c>
      <c r="E2410" s="4">
        <f t="shared" si="1262"/>
        <v>5.0425280278016481E-2</v>
      </c>
      <c r="F2410" s="4">
        <f t="shared" si="1262"/>
        <v>5.0425280278016481E-2</v>
      </c>
      <c r="G2410" s="4">
        <f t="shared" si="1262"/>
        <v>5.0425280278016481E-2</v>
      </c>
      <c r="H2410" s="4">
        <f t="shared" si="1262"/>
        <v>5.0425280278016481E-2</v>
      </c>
      <c r="I2410" s="4">
        <f t="shared" si="1262"/>
        <v>5.0425280278016481E-2</v>
      </c>
      <c r="J2410" s="4">
        <f t="shared" si="1262"/>
        <v>5.0425280278016481E-2</v>
      </c>
      <c r="K2410" s="4">
        <f t="shared" si="1262"/>
        <v>5.0425280278016481E-2</v>
      </c>
      <c r="L2410" s="4">
        <f t="shared" si="1262"/>
        <v>5.0425280278016481E-2</v>
      </c>
      <c r="M2410" s="4">
        <f t="shared" si="1262"/>
        <v>5.0425280278016481E-2</v>
      </c>
      <c r="N2410" t="s">
        <v>242</v>
      </c>
      <c r="O2410" t="s">
        <v>317</v>
      </c>
      <c r="P2410" t="s">
        <v>384</v>
      </c>
      <c r="Q2410" s="4" t="s">
        <v>650</v>
      </c>
    </row>
    <row r="2411" spans="1:17" x14ac:dyDescent="0.25">
      <c r="A2411" t="s">
        <v>384</v>
      </c>
      <c r="B2411" t="s">
        <v>98</v>
      </c>
      <c r="C2411" s="4">
        <f t="shared" ref="C2411:M2411" si="1263">(0.336648016439843/(0.139645918974656+0.161885636831319+0.336648016439843)) * 19.8784675577681%</f>
        <v>0.1048614992428607</v>
      </c>
      <c r="D2411" s="4">
        <f t="shared" si="1263"/>
        <v>0.1048614992428607</v>
      </c>
      <c r="E2411" s="4">
        <f t="shared" si="1263"/>
        <v>0.1048614992428607</v>
      </c>
      <c r="F2411" s="4">
        <f t="shared" si="1263"/>
        <v>0.1048614992428607</v>
      </c>
      <c r="G2411" s="4">
        <f t="shared" si="1263"/>
        <v>0.1048614992428607</v>
      </c>
      <c r="H2411" s="4">
        <f t="shared" si="1263"/>
        <v>0.1048614992428607</v>
      </c>
      <c r="I2411" s="4">
        <f t="shared" si="1263"/>
        <v>0.1048614992428607</v>
      </c>
      <c r="J2411" s="4">
        <f t="shared" si="1263"/>
        <v>0.1048614992428607</v>
      </c>
      <c r="K2411" s="4">
        <f t="shared" si="1263"/>
        <v>0.1048614992428607</v>
      </c>
      <c r="L2411" s="4">
        <f t="shared" si="1263"/>
        <v>0.1048614992428607</v>
      </c>
      <c r="M2411" s="4">
        <f t="shared" si="1263"/>
        <v>0.1048614992428607</v>
      </c>
      <c r="N2411" t="s">
        <v>242</v>
      </c>
      <c r="O2411" t="s">
        <v>289</v>
      </c>
      <c r="P2411" t="s">
        <v>384</v>
      </c>
      <c r="Q2411" s="4" t="s">
        <v>650</v>
      </c>
    </row>
    <row r="2412" spans="1:17" x14ac:dyDescent="0.25">
      <c r="A2412" t="s">
        <v>384</v>
      </c>
      <c r="B2412" t="s">
        <v>119</v>
      </c>
      <c r="C2412" s="4">
        <f t="shared" ref="C2412:M2412" si="1264">(0.139645918974656/(0.139645918974656+0.161885636831319+0.336648016439843)) * 7.48790829045922%</f>
        <v>1.6384978145561058E-2</v>
      </c>
      <c r="D2412" s="4">
        <f t="shared" si="1264"/>
        <v>1.6384978145561058E-2</v>
      </c>
      <c r="E2412" s="4">
        <f t="shared" si="1264"/>
        <v>1.6384978145561058E-2</v>
      </c>
      <c r="F2412" s="4">
        <f t="shared" si="1264"/>
        <v>1.6384978145561058E-2</v>
      </c>
      <c r="G2412" s="4">
        <f t="shared" si="1264"/>
        <v>1.6384978145561058E-2</v>
      </c>
      <c r="H2412" s="4">
        <f t="shared" si="1264"/>
        <v>1.6384978145561058E-2</v>
      </c>
      <c r="I2412" s="4">
        <f t="shared" si="1264"/>
        <v>1.6384978145561058E-2</v>
      </c>
      <c r="J2412" s="4">
        <f t="shared" si="1264"/>
        <v>1.6384978145561058E-2</v>
      </c>
      <c r="K2412" s="4">
        <f t="shared" si="1264"/>
        <v>1.6384978145561058E-2</v>
      </c>
      <c r="L2412" s="4">
        <f t="shared" si="1264"/>
        <v>1.6384978145561058E-2</v>
      </c>
      <c r="M2412" s="4">
        <f t="shared" si="1264"/>
        <v>1.6384978145561058E-2</v>
      </c>
      <c r="N2412" t="s">
        <v>242</v>
      </c>
      <c r="O2412" t="s">
        <v>386</v>
      </c>
      <c r="P2412" t="s">
        <v>384</v>
      </c>
      <c r="Q2412" s="4" t="s">
        <v>650</v>
      </c>
    </row>
    <row r="2413" spans="1:17" x14ac:dyDescent="0.25">
      <c r="A2413" t="s">
        <v>384</v>
      </c>
      <c r="B2413" t="s">
        <v>119</v>
      </c>
      <c r="C2413" s="4">
        <f t="shared" ref="C2413:M2413" si="1265">(0.161885636831319/(0.139645918974656+0.161885636831319+0.336648016439843)) * 7.48790829045922%</f>
        <v>1.8994415597943761E-2</v>
      </c>
      <c r="D2413" s="4">
        <f t="shared" si="1265"/>
        <v>1.8994415597943761E-2</v>
      </c>
      <c r="E2413" s="4">
        <f t="shared" si="1265"/>
        <v>1.8994415597943761E-2</v>
      </c>
      <c r="F2413" s="4">
        <f t="shared" si="1265"/>
        <v>1.8994415597943761E-2</v>
      </c>
      <c r="G2413" s="4">
        <f t="shared" si="1265"/>
        <v>1.8994415597943761E-2</v>
      </c>
      <c r="H2413" s="4">
        <f t="shared" si="1265"/>
        <v>1.8994415597943761E-2</v>
      </c>
      <c r="I2413" s="4">
        <f t="shared" si="1265"/>
        <v>1.8994415597943761E-2</v>
      </c>
      <c r="J2413" s="4">
        <f t="shared" si="1265"/>
        <v>1.8994415597943761E-2</v>
      </c>
      <c r="K2413" s="4">
        <f t="shared" si="1265"/>
        <v>1.8994415597943761E-2</v>
      </c>
      <c r="L2413" s="4">
        <f t="shared" si="1265"/>
        <v>1.8994415597943761E-2</v>
      </c>
      <c r="M2413" s="4">
        <f t="shared" si="1265"/>
        <v>1.8994415597943761E-2</v>
      </c>
      <c r="N2413" t="s">
        <v>242</v>
      </c>
      <c r="O2413" t="s">
        <v>317</v>
      </c>
      <c r="P2413" t="s">
        <v>384</v>
      </c>
      <c r="Q2413" s="4" t="s">
        <v>650</v>
      </c>
    </row>
    <row r="2414" spans="1:17" x14ac:dyDescent="0.25">
      <c r="A2414" t="s">
        <v>384</v>
      </c>
      <c r="B2414" t="s">
        <v>119</v>
      </c>
      <c r="C2414" s="4">
        <f t="shared" ref="C2414:M2414" si="1266">(0.336648016439843/(0.139645918974656+0.161885636831319+0.336648016439843)) * 7.48790829045922%</f>
        <v>3.9499689161087391E-2</v>
      </c>
      <c r="D2414" s="4">
        <f t="shared" si="1266"/>
        <v>3.9499689161087391E-2</v>
      </c>
      <c r="E2414" s="4">
        <f t="shared" si="1266"/>
        <v>3.9499689161087391E-2</v>
      </c>
      <c r="F2414" s="4">
        <f t="shared" si="1266"/>
        <v>3.9499689161087391E-2</v>
      </c>
      <c r="G2414" s="4">
        <f t="shared" si="1266"/>
        <v>3.9499689161087391E-2</v>
      </c>
      <c r="H2414" s="4">
        <f t="shared" si="1266"/>
        <v>3.9499689161087391E-2</v>
      </c>
      <c r="I2414" s="4">
        <f t="shared" si="1266"/>
        <v>3.9499689161087391E-2</v>
      </c>
      <c r="J2414" s="4">
        <f t="shared" si="1266"/>
        <v>3.9499689161087391E-2</v>
      </c>
      <c r="K2414" s="4">
        <f t="shared" si="1266"/>
        <v>3.9499689161087391E-2</v>
      </c>
      <c r="L2414" s="4">
        <f t="shared" si="1266"/>
        <v>3.9499689161087391E-2</v>
      </c>
      <c r="M2414" s="4">
        <f t="shared" si="1266"/>
        <v>3.9499689161087391E-2</v>
      </c>
      <c r="N2414" t="s">
        <v>242</v>
      </c>
      <c r="O2414" t="s">
        <v>289</v>
      </c>
      <c r="P2414" t="s">
        <v>384</v>
      </c>
      <c r="Q2414" s="4" t="s">
        <v>650</v>
      </c>
    </row>
    <row r="2415" spans="1:17" x14ac:dyDescent="0.25">
      <c r="A2415" t="s">
        <v>384</v>
      </c>
      <c r="B2415" t="s">
        <v>148</v>
      </c>
      <c r="C2415" s="4">
        <f t="shared" ref="C2415:M2415" si="1267">(0.139645918974656/(0.139645918974656+0.161885636831319+0.336648016439843)) * 1.82593336474863%</f>
        <v>3.9954920808494918E-3</v>
      </c>
      <c r="D2415" s="4">
        <f t="shared" si="1267"/>
        <v>3.9954920808494918E-3</v>
      </c>
      <c r="E2415" s="4">
        <f t="shared" si="1267"/>
        <v>3.9954920808494918E-3</v>
      </c>
      <c r="F2415" s="4">
        <f t="shared" si="1267"/>
        <v>3.9954920808494918E-3</v>
      </c>
      <c r="G2415" s="4">
        <f t="shared" si="1267"/>
        <v>3.9954920808494918E-3</v>
      </c>
      <c r="H2415" s="4">
        <f t="shared" si="1267"/>
        <v>3.9954920808494918E-3</v>
      </c>
      <c r="I2415" s="4">
        <f t="shared" si="1267"/>
        <v>3.9954920808494918E-3</v>
      </c>
      <c r="J2415" s="4">
        <f t="shared" si="1267"/>
        <v>3.9954920808494918E-3</v>
      </c>
      <c r="K2415" s="4">
        <f t="shared" si="1267"/>
        <v>3.9954920808494918E-3</v>
      </c>
      <c r="L2415" s="4">
        <f t="shared" si="1267"/>
        <v>3.9954920808494918E-3</v>
      </c>
      <c r="M2415" s="4">
        <f t="shared" si="1267"/>
        <v>3.9954920808494918E-3</v>
      </c>
      <c r="N2415" t="s">
        <v>242</v>
      </c>
      <c r="O2415" t="s">
        <v>386</v>
      </c>
      <c r="P2415" t="s">
        <v>384</v>
      </c>
      <c r="Q2415" s="4" t="s">
        <v>650</v>
      </c>
    </row>
    <row r="2416" spans="1:17" x14ac:dyDescent="0.25">
      <c r="A2416" t="s">
        <v>384</v>
      </c>
      <c r="B2416" t="s">
        <v>148</v>
      </c>
      <c r="C2416" s="4">
        <f t="shared" ref="C2416:M2416" si="1268">(0.161885636831319/(0.139645918974656+0.161885636831319+0.336648016439843)) * 1.82593336474863%</f>
        <v>4.6318058179716688E-3</v>
      </c>
      <c r="D2416" s="4">
        <f t="shared" si="1268"/>
        <v>4.6318058179716688E-3</v>
      </c>
      <c r="E2416" s="4">
        <f t="shared" si="1268"/>
        <v>4.6318058179716688E-3</v>
      </c>
      <c r="F2416" s="4">
        <f t="shared" si="1268"/>
        <v>4.6318058179716688E-3</v>
      </c>
      <c r="G2416" s="4">
        <f t="shared" si="1268"/>
        <v>4.6318058179716688E-3</v>
      </c>
      <c r="H2416" s="4">
        <f t="shared" si="1268"/>
        <v>4.6318058179716688E-3</v>
      </c>
      <c r="I2416" s="4">
        <f t="shared" si="1268"/>
        <v>4.6318058179716688E-3</v>
      </c>
      <c r="J2416" s="4">
        <f t="shared" si="1268"/>
        <v>4.6318058179716688E-3</v>
      </c>
      <c r="K2416" s="4">
        <f t="shared" si="1268"/>
        <v>4.6318058179716688E-3</v>
      </c>
      <c r="L2416" s="4">
        <f t="shared" si="1268"/>
        <v>4.6318058179716688E-3</v>
      </c>
      <c r="M2416" s="4">
        <f t="shared" si="1268"/>
        <v>4.6318058179716688E-3</v>
      </c>
      <c r="N2416" t="s">
        <v>242</v>
      </c>
      <c r="O2416" t="s">
        <v>317</v>
      </c>
      <c r="P2416" t="s">
        <v>384</v>
      </c>
      <c r="Q2416" s="4" t="s">
        <v>650</v>
      </c>
    </row>
    <row r="2417" spans="1:17" x14ac:dyDescent="0.25">
      <c r="A2417" t="s">
        <v>384</v>
      </c>
      <c r="B2417" t="s">
        <v>148</v>
      </c>
      <c r="C2417" s="4">
        <f t="shared" ref="C2417:M2417" si="1269">(0.336648016439843/(0.139645918974656+0.161885636831319+0.336648016439843)) * 1.82593336474863%</f>
        <v>9.6320357486651392E-3</v>
      </c>
      <c r="D2417" s="4">
        <f t="shared" si="1269"/>
        <v>9.6320357486651392E-3</v>
      </c>
      <c r="E2417" s="4">
        <f t="shared" si="1269"/>
        <v>9.6320357486651392E-3</v>
      </c>
      <c r="F2417" s="4">
        <f t="shared" si="1269"/>
        <v>9.6320357486651392E-3</v>
      </c>
      <c r="G2417" s="4">
        <f t="shared" si="1269"/>
        <v>9.6320357486651392E-3</v>
      </c>
      <c r="H2417" s="4">
        <f t="shared" si="1269"/>
        <v>9.6320357486651392E-3</v>
      </c>
      <c r="I2417" s="4">
        <f t="shared" si="1269"/>
        <v>9.6320357486651392E-3</v>
      </c>
      <c r="J2417" s="4">
        <f t="shared" si="1269"/>
        <v>9.6320357486651392E-3</v>
      </c>
      <c r="K2417" s="4">
        <f t="shared" si="1269"/>
        <v>9.6320357486651392E-3</v>
      </c>
      <c r="L2417" s="4">
        <f t="shared" si="1269"/>
        <v>9.6320357486651392E-3</v>
      </c>
      <c r="M2417" s="4">
        <f t="shared" si="1269"/>
        <v>9.6320357486651392E-3</v>
      </c>
      <c r="N2417" t="s">
        <v>242</v>
      </c>
      <c r="O2417" t="s">
        <v>289</v>
      </c>
      <c r="P2417" t="s">
        <v>384</v>
      </c>
      <c r="Q2417" s="4" t="s">
        <v>650</v>
      </c>
    </row>
    <row r="2418" spans="1:17" x14ac:dyDescent="0.25">
      <c r="A2418" t="s">
        <v>384</v>
      </c>
      <c r="B2418" t="s">
        <v>230</v>
      </c>
      <c r="C2418" s="4">
        <f t="shared" ref="C2418:M2418" si="1270">(0.139645918974656/(0.139645918974656+0.161885636831319+0.336648016439843)) * 0.26660901968854%</f>
        <v>5.833916217393043E-4</v>
      </c>
      <c r="D2418" s="4">
        <f t="shared" si="1270"/>
        <v>5.833916217393043E-4</v>
      </c>
      <c r="E2418" s="4">
        <f t="shared" si="1270"/>
        <v>5.833916217393043E-4</v>
      </c>
      <c r="F2418" s="4">
        <f t="shared" si="1270"/>
        <v>5.833916217393043E-4</v>
      </c>
      <c r="G2418" s="4">
        <f t="shared" si="1270"/>
        <v>5.833916217393043E-4</v>
      </c>
      <c r="H2418" s="4">
        <f t="shared" si="1270"/>
        <v>5.833916217393043E-4</v>
      </c>
      <c r="I2418" s="4">
        <f t="shared" si="1270"/>
        <v>5.833916217393043E-4</v>
      </c>
      <c r="J2418" s="4">
        <f t="shared" si="1270"/>
        <v>5.833916217393043E-4</v>
      </c>
      <c r="K2418" s="4">
        <f t="shared" si="1270"/>
        <v>5.833916217393043E-4</v>
      </c>
      <c r="L2418" s="4">
        <f t="shared" si="1270"/>
        <v>5.833916217393043E-4</v>
      </c>
      <c r="M2418" s="4">
        <f t="shared" si="1270"/>
        <v>5.833916217393043E-4</v>
      </c>
      <c r="N2418" t="s">
        <v>242</v>
      </c>
      <c r="O2418" t="s">
        <v>386</v>
      </c>
      <c r="P2418" t="s">
        <v>384</v>
      </c>
      <c r="Q2418" s="4" t="s">
        <v>650</v>
      </c>
    </row>
    <row r="2419" spans="1:17" x14ac:dyDescent="0.25">
      <c r="A2419" t="s">
        <v>384</v>
      </c>
      <c r="B2419" t="s">
        <v>230</v>
      </c>
      <c r="C2419" s="4">
        <f t="shared" ref="C2419:M2419" si="1271">(0.161885636831319/(0.139645918974656+0.161885636831319+0.336648016439843)) * 0.26660901968854%</f>
        <v>6.7630135488931425E-4</v>
      </c>
      <c r="D2419" s="4">
        <f t="shared" si="1271"/>
        <v>6.7630135488931425E-4</v>
      </c>
      <c r="E2419" s="4">
        <f t="shared" si="1271"/>
        <v>6.7630135488931425E-4</v>
      </c>
      <c r="F2419" s="4">
        <f t="shared" si="1271"/>
        <v>6.7630135488931425E-4</v>
      </c>
      <c r="G2419" s="4">
        <f t="shared" si="1271"/>
        <v>6.7630135488931425E-4</v>
      </c>
      <c r="H2419" s="4">
        <f t="shared" si="1271"/>
        <v>6.7630135488931425E-4</v>
      </c>
      <c r="I2419" s="4">
        <f t="shared" si="1271"/>
        <v>6.7630135488931425E-4</v>
      </c>
      <c r="J2419" s="4">
        <f t="shared" si="1271"/>
        <v>6.7630135488931425E-4</v>
      </c>
      <c r="K2419" s="4">
        <f t="shared" si="1271"/>
        <v>6.7630135488931425E-4</v>
      </c>
      <c r="L2419" s="4">
        <f t="shared" si="1271"/>
        <v>6.7630135488931425E-4</v>
      </c>
      <c r="M2419" s="4">
        <f t="shared" si="1271"/>
        <v>6.7630135488931425E-4</v>
      </c>
      <c r="N2419" t="s">
        <v>242</v>
      </c>
      <c r="O2419" t="s">
        <v>317</v>
      </c>
      <c r="P2419" t="s">
        <v>384</v>
      </c>
      <c r="Q2419" s="4" t="s">
        <v>650</v>
      </c>
    </row>
    <row r="2420" spans="1:17" x14ac:dyDescent="0.25">
      <c r="A2420" t="s">
        <v>384</v>
      </c>
      <c r="B2420" t="s">
        <v>230</v>
      </c>
      <c r="C2420" s="4">
        <f t="shared" ref="C2420:M2420" si="1272">(0.336648016439843/(0.139645918974656+0.161885636831319+0.336648016439843)) * 0.26660901968854%</f>
        <v>1.4063972202567818E-3</v>
      </c>
      <c r="D2420" s="4">
        <f t="shared" si="1272"/>
        <v>1.4063972202567818E-3</v>
      </c>
      <c r="E2420" s="4">
        <f t="shared" si="1272"/>
        <v>1.4063972202567818E-3</v>
      </c>
      <c r="F2420" s="4">
        <f t="shared" si="1272"/>
        <v>1.4063972202567818E-3</v>
      </c>
      <c r="G2420" s="4">
        <f t="shared" si="1272"/>
        <v>1.4063972202567818E-3</v>
      </c>
      <c r="H2420" s="4">
        <f t="shared" si="1272"/>
        <v>1.4063972202567818E-3</v>
      </c>
      <c r="I2420" s="4">
        <f t="shared" si="1272"/>
        <v>1.4063972202567818E-3</v>
      </c>
      <c r="J2420" s="4">
        <f t="shared" si="1272"/>
        <v>1.4063972202567818E-3</v>
      </c>
      <c r="K2420" s="4">
        <f t="shared" si="1272"/>
        <v>1.4063972202567818E-3</v>
      </c>
      <c r="L2420" s="4">
        <f t="shared" si="1272"/>
        <v>1.4063972202567818E-3</v>
      </c>
      <c r="M2420" s="4">
        <f t="shared" si="1272"/>
        <v>1.4063972202567818E-3</v>
      </c>
      <c r="N2420" t="s">
        <v>242</v>
      </c>
      <c r="O2420" t="s">
        <v>289</v>
      </c>
      <c r="P2420" t="s">
        <v>384</v>
      </c>
      <c r="Q2420" s="4" t="s">
        <v>650</v>
      </c>
    </row>
    <row r="2421" spans="1:17" x14ac:dyDescent="0.25">
      <c r="A2421" t="s">
        <v>384</v>
      </c>
      <c r="B2421" t="s">
        <v>141</v>
      </c>
      <c r="C2421" s="4">
        <f t="shared" ref="C2421:M2421" si="1273">(0.139645918974656/(0.139645918974656+0.161885636831319+0.336648016439843)) * 1.16867197094804%</f>
        <v>2.5572782091511231E-3</v>
      </c>
      <c r="D2421" s="4">
        <f t="shared" si="1273"/>
        <v>2.5572782091511231E-3</v>
      </c>
      <c r="E2421" s="4">
        <f t="shared" si="1273"/>
        <v>2.5572782091511231E-3</v>
      </c>
      <c r="F2421" s="4">
        <f t="shared" si="1273"/>
        <v>2.5572782091511231E-3</v>
      </c>
      <c r="G2421" s="4">
        <f t="shared" si="1273"/>
        <v>2.5572782091511231E-3</v>
      </c>
      <c r="H2421" s="4">
        <f t="shared" si="1273"/>
        <v>2.5572782091511231E-3</v>
      </c>
      <c r="I2421" s="4">
        <f t="shared" si="1273"/>
        <v>2.5572782091511231E-3</v>
      </c>
      <c r="J2421" s="4">
        <f t="shared" si="1273"/>
        <v>2.5572782091511231E-3</v>
      </c>
      <c r="K2421" s="4">
        <f t="shared" si="1273"/>
        <v>2.5572782091511231E-3</v>
      </c>
      <c r="L2421" s="4">
        <f t="shared" si="1273"/>
        <v>2.5572782091511231E-3</v>
      </c>
      <c r="M2421" s="4">
        <f t="shared" si="1273"/>
        <v>2.5572782091511231E-3</v>
      </c>
      <c r="N2421" t="s">
        <v>242</v>
      </c>
      <c r="O2421" t="s">
        <v>386</v>
      </c>
      <c r="P2421" t="s">
        <v>384</v>
      </c>
      <c r="Q2421" s="4" t="s">
        <v>650</v>
      </c>
    </row>
    <row r="2422" spans="1:17" x14ac:dyDescent="0.25">
      <c r="A2422" t="s">
        <v>384</v>
      </c>
      <c r="B2422" t="s">
        <v>141</v>
      </c>
      <c r="C2422" s="4">
        <f t="shared" ref="C2422:M2422" si="1274">(0.161885636831319/(0.139645918974656+0.161885636831319+0.336648016439843)) * 1.16867197094804%</f>
        <v>2.9645450041287497E-3</v>
      </c>
      <c r="D2422" s="4">
        <f t="shared" si="1274"/>
        <v>2.9645450041287497E-3</v>
      </c>
      <c r="E2422" s="4">
        <f t="shared" si="1274"/>
        <v>2.9645450041287497E-3</v>
      </c>
      <c r="F2422" s="4">
        <f t="shared" si="1274"/>
        <v>2.9645450041287497E-3</v>
      </c>
      <c r="G2422" s="4">
        <f t="shared" si="1274"/>
        <v>2.9645450041287497E-3</v>
      </c>
      <c r="H2422" s="4">
        <f t="shared" si="1274"/>
        <v>2.9645450041287497E-3</v>
      </c>
      <c r="I2422" s="4">
        <f t="shared" si="1274"/>
        <v>2.9645450041287497E-3</v>
      </c>
      <c r="J2422" s="4">
        <f t="shared" si="1274"/>
        <v>2.9645450041287497E-3</v>
      </c>
      <c r="K2422" s="4">
        <f t="shared" si="1274"/>
        <v>2.9645450041287497E-3</v>
      </c>
      <c r="L2422" s="4">
        <f t="shared" si="1274"/>
        <v>2.9645450041287497E-3</v>
      </c>
      <c r="M2422" s="4">
        <f t="shared" si="1274"/>
        <v>2.9645450041287497E-3</v>
      </c>
      <c r="N2422" t="s">
        <v>242</v>
      </c>
      <c r="O2422" t="s">
        <v>317</v>
      </c>
      <c r="P2422" t="s">
        <v>384</v>
      </c>
      <c r="Q2422" s="4" t="s">
        <v>650</v>
      </c>
    </row>
    <row r="2423" spans="1:17" x14ac:dyDescent="0.25">
      <c r="A2423" t="s">
        <v>384</v>
      </c>
      <c r="B2423" t="s">
        <v>141</v>
      </c>
      <c r="C2423" s="4">
        <f t="shared" ref="C2423:M2423" si="1275">(0.336648016439843/(0.139645918974656+0.161885636831319+0.336648016439843)) * 1.16867197094804%</f>
        <v>6.1648964962005273E-3</v>
      </c>
      <c r="D2423" s="4">
        <f t="shared" si="1275"/>
        <v>6.1648964962005273E-3</v>
      </c>
      <c r="E2423" s="4">
        <f t="shared" si="1275"/>
        <v>6.1648964962005273E-3</v>
      </c>
      <c r="F2423" s="4">
        <f t="shared" si="1275"/>
        <v>6.1648964962005273E-3</v>
      </c>
      <c r="G2423" s="4">
        <f t="shared" si="1275"/>
        <v>6.1648964962005273E-3</v>
      </c>
      <c r="H2423" s="4">
        <f t="shared" si="1275"/>
        <v>6.1648964962005273E-3</v>
      </c>
      <c r="I2423" s="4">
        <f t="shared" si="1275"/>
        <v>6.1648964962005273E-3</v>
      </c>
      <c r="J2423" s="4">
        <f t="shared" si="1275"/>
        <v>6.1648964962005273E-3</v>
      </c>
      <c r="K2423" s="4">
        <f t="shared" si="1275"/>
        <v>6.1648964962005273E-3</v>
      </c>
      <c r="L2423" s="4">
        <f t="shared" si="1275"/>
        <v>6.1648964962005273E-3</v>
      </c>
      <c r="M2423" s="4">
        <f t="shared" si="1275"/>
        <v>6.1648964962005273E-3</v>
      </c>
      <c r="N2423" t="s">
        <v>242</v>
      </c>
      <c r="O2423" t="s">
        <v>289</v>
      </c>
      <c r="P2423" t="s">
        <v>384</v>
      </c>
      <c r="Q2423" s="4" t="s">
        <v>650</v>
      </c>
    </row>
    <row r="2424" spans="1:17" x14ac:dyDescent="0.25">
      <c r="A2424" t="s">
        <v>384</v>
      </c>
      <c r="B2424" t="s">
        <v>161</v>
      </c>
      <c r="C2424" s="4">
        <f t="shared" ref="C2424:M2424" si="1276">(0.139645918974656/(0.139645918974656+0.161885636831319+0.336648016439843)) * 0.000825414921636345%</f>
        <v>1.8061660115767894E-6</v>
      </c>
      <c r="D2424" s="4">
        <f t="shared" si="1276"/>
        <v>1.8061660115767894E-6</v>
      </c>
      <c r="E2424" s="4">
        <f t="shared" si="1276"/>
        <v>1.8061660115767894E-6</v>
      </c>
      <c r="F2424" s="4">
        <f t="shared" si="1276"/>
        <v>1.8061660115767894E-6</v>
      </c>
      <c r="G2424" s="4">
        <f t="shared" si="1276"/>
        <v>1.8061660115767894E-6</v>
      </c>
      <c r="H2424" s="4">
        <f t="shared" si="1276"/>
        <v>1.8061660115767894E-6</v>
      </c>
      <c r="I2424" s="4">
        <f t="shared" si="1276"/>
        <v>1.8061660115767894E-6</v>
      </c>
      <c r="J2424" s="4">
        <f t="shared" si="1276"/>
        <v>1.8061660115767894E-6</v>
      </c>
      <c r="K2424" s="4">
        <f t="shared" si="1276"/>
        <v>1.8061660115767894E-6</v>
      </c>
      <c r="L2424" s="4">
        <f t="shared" si="1276"/>
        <v>1.8061660115767894E-6</v>
      </c>
      <c r="M2424" s="4">
        <f t="shared" si="1276"/>
        <v>1.8061660115767894E-6</v>
      </c>
      <c r="N2424" t="s">
        <v>242</v>
      </c>
      <c r="O2424" t="s">
        <v>386</v>
      </c>
      <c r="P2424" t="s">
        <v>384</v>
      </c>
      <c r="Q2424" s="4" t="s">
        <v>650</v>
      </c>
    </row>
    <row r="2425" spans="1:17" x14ac:dyDescent="0.25">
      <c r="A2425" t="s">
        <v>384</v>
      </c>
      <c r="B2425" t="s">
        <v>161</v>
      </c>
      <c r="C2425" s="4">
        <f t="shared" ref="C2425:M2425" si="1277">(0.161885636831319/(0.139645918974656+0.161885636831319+0.336648016439843)) * 0.000825414921636345%</f>
        <v>2.0938122442393585E-6</v>
      </c>
      <c r="D2425" s="4">
        <f t="shared" si="1277"/>
        <v>2.0938122442393585E-6</v>
      </c>
      <c r="E2425" s="4">
        <f t="shared" si="1277"/>
        <v>2.0938122442393585E-6</v>
      </c>
      <c r="F2425" s="4">
        <f t="shared" si="1277"/>
        <v>2.0938122442393585E-6</v>
      </c>
      <c r="G2425" s="4">
        <f t="shared" si="1277"/>
        <v>2.0938122442393585E-6</v>
      </c>
      <c r="H2425" s="4">
        <f t="shared" si="1277"/>
        <v>2.0938122442393585E-6</v>
      </c>
      <c r="I2425" s="4">
        <f t="shared" si="1277"/>
        <v>2.0938122442393585E-6</v>
      </c>
      <c r="J2425" s="4">
        <f t="shared" si="1277"/>
        <v>2.0938122442393585E-6</v>
      </c>
      <c r="K2425" s="4">
        <f t="shared" si="1277"/>
        <v>2.0938122442393585E-6</v>
      </c>
      <c r="L2425" s="4">
        <f t="shared" si="1277"/>
        <v>2.0938122442393585E-6</v>
      </c>
      <c r="M2425" s="4">
        <f t="shared" si="1277"/>
        <v>2.0938122442393585E-6</v>
      </c>
      <c r="N2425" t="s">
        <v>242</v>
      </c>
      <c r="O2425" t="s">
        <v>317</v>
      </c>
      <c r="P2425" t="s">
        <v>384</v>
      </c>
      <c r="Q2425" s="4" t="s">
        <v>650</v>
      </c>
    </row>
    <row r="2426" spans="1:17" x14ac:dyDescent="0.25">
      <c r="A2426" t="s">
        <v>384</v>
      </c>
      <c r="B2426" t="s">
        <v>161</v>
      </c>
      <c r="C2426" s="4">
        <f t="shared" ref="C2426:M2426" si="1278">(0.336648016439843/(0.139645918974656+0.161885636831319+0.336648016439843)) * 0.000825414921636345%</f>
        <v>4.3541709605473022E-6</v>
      </c>
      <c r="D2426" s="4">
        <f t="shared" si="1278"/>
        <v>4.3541709605473022E-6</v>
      </c>
      <c r="E2426" s="4">
        <f t="shared" si="1278"/>
        <v>4.3541709605473022E-6</v>
      </c>
      <c r="F2426" s="4">
        <f t="shared" si="1278"/>
        <v>4.3541709605473022E-6</v>
      </c>
      <c r="G2426" s="4">
        <f t="shared" si="1278"/>
        <v>4.3541709605473022E-6</v>
      </c>
      <c r="H2426" s="4">
        <f t="shared" si="1278"/>
        <v>4.3541709605473022E-6</v>
      </c>
      <c r="I2426" s="4">
        <f t="shared" si="1278"/>
        <v>4.3541709605473022E-6</v>
      </c>
      <c r="J2426" s="4">
        <f t="shared" si="1278"/>
        <v>4.3541709605473022E-6</v>
      </c>
      <c r="K2426" s="4">
        <f t="shared" si="1278"/>
        <v>4.3541709605473022E-6</v>
      </c>
      <c r="L2426" s="4">
        <f t="shared" si="1278"/>
        <v>4.3541709605473022E-6</v>
      </c>
      <c r="M2426" s="4">
        <f t="shared" si="1278"/>
        <v>4.3541709605473022E-6</v>
      </c>
      <c r="N2426" t="s">
        <v>242</v>
      </c>
      <c r="O2426" t="s">
        <v>289</v>
      </c>
      <c r="P2426" t="s">
        <v>384</v>
      </c>
      <c r="Q2426" s="4" t="s">
        <v>650</v>
      </c>
    </row>
    <row r="2427" spans="1:17" x14ac:dyDescent="0.25">
      <c r="A2427" t="s">
        <v>384</v>
      </c>
      <c r="B2427" t="s">
        <v>174</v>
      </c>
      <c r="C2427" s="4">
        <f t="shared" ref="C2427:M2427" si="1279">(0.139645918974656/(0.139645918974656+0.161885636831319+0.336648016439843)) * 0.755279415744905%</f>
        <v>1.6526960855731102E-3</v>
      </c>
      <c r="D2427" s="4">
        <f t="shared" si="1279"/>
        <v>1.6526960855731102E-3</v>
      </c>
      <c r="E2427" s="4">
        <f t="shared" si="1279"/>
        <v>1.6526960855731102E-3</v>
      </c>
      <c r="F2427" s="4">
        <f t="shared" si="1279"/>
        <v>1.6526960855731102E-3</v>
      </c>
      <c r="G2427" s="4">
        <f t="shared" si="1279"/>
        <v>1.6526960855731102E-3</v>
      </c>
      <c r="H2427" s="4">
        <f t="shared" si="1279"/>
        <v>1.6526960855731102E-3</v>
      </c>
      <c r="I2427" s="4">
        <f t="shared" si="1279"/>
        <v>1.6526960855731102E-3</v>
      </c>
      <c r="J2427" s="4">
        <f t="shared" si="1279"/>
        <v>1.6526960855731102E-3</v>
      </c>
      <c r="K2427" s="4">
        <f t="shared" si="1279"/>
        <v>1.6526960855731102E-3</v>
      </c>
      <c r="L2427" s="4">
        <f t="shared" si="1279"/>
        <v>1.6526960855731102E-3</v>
      </c>
      <c r="M2427" s="4">
        <f t="shared" si="1279"/>
        <v>1.6526960855731102E-3</v>
      </c>
      <c r="N2427" t="s">
        <v>242</v>
      </c>
      <c r="O2427" t="s">
        <v>386</v>
      </c>
      <c r="P2427" t="s">
        <v>384</v>
      </c>
      <c r="Q2427" s="4" t="s">
        <v>650</v>
      </c>
    </row>
    <row r="2428" spans="1:17" x14ac:dyDescent="0.25">
      <c r="A2428" t="s">
        <v>384</v>
      </c>
      <c r="B2428" t="s">
        <v>174</v>
      </c>
      <c r="C2428" s="4">
        <f t="shared" ref="C2428:M2428" si="1280">(0.161885636831319/(0.139645918974656+0.161885636831319+0.336648016439843)) * 0.755279415744905%</f>
        <v>1.9159010178463407E-3</v>
      </c>
      <c r="D2428" s="4">
        <f t="shared" si="1280"/>
        <v>1.9159010178463407E-3</v>
      </c>
      <c r="E2428" s="4">
        <f t="shared" si="1280"/>
        <v>1.9159010178463407E-3</v>
      </c>
      <c r="F2428" s="4">
        <f t="shared" si="1280"/>
        <v>1.9159010178463407E-3</v>
      </c>
      <c r="G2428" s="4">
        <f t="shared" si="1280"/>
        <v>1.9159010178463407E-3</v>
      </c>
      <c r="H2428" s="4">
        <f t="shared" si="1280"/>
        <v>1.9159010178463407E-3</v>
      </c>
      <c r="I2428" s="4">
        <f t="shared" si="1280"/>
        <v>1.9159010178463407E-3</v>
      </c>
      <c r="J2428" s="4">
        <f t="shared" si="1280"/>
        <v>1.9159010178463407E-3</v>
      </c>
      <c r="K2428" s="4">
        <f t="shared" si="1280"/>
        <v>1.9159010178463407E-3</v>
      </c>
      <c r="L2428" s="4">
        <f t="shared" si="1280"/>
        <v>1.9159010178463407E-3</v>
      </c>
      <c r="M2428" s="4">
        <f t="shared" si="1280"/>
        <v>1.9159010178463407E-3</v>
      </c>
      <c r="N2428" t="s">
        <v>242</v>
      </c>
      <c r="O2428" t="s">
        <v>317</v>
      </c>
      <c r="P2428" t="s">
        <v>384</v>
      </c>
      <c r="Q2428" s="4" t="s">
        <v>650</v>
      </c>
    </row>
    <row r="2429" spans="1:17" x14ac:dyDescent="0.25">
      <c r="A2429" t="s">
        <v>384</v>
      </c>
      <c r="B2429" t="s">
        <v>174</v>
      </c>
      <c r="C2429" s="4">
        <f t="shared" ref="C2429:M2429" si="1281">(0.336648016439843/(0.139645918974656+0.161885636831319+0.336648016439843)) * 0.755279415744905%</f>
        <v>3.9841970540295995E-3</v>
      </c>
      <c r="D2429" s="4">
        <f t="shared" si="1281"/>
        <v>3.9841970540295995E-3</v>
      </c>
      <c r="E2429" s="4">
        <f t="shared" si="1281"/>
        <v>3.9841970540295995E-3</v>
      </c>
      <c r="F2429" s="4">
        <f t="shared" si="1281"/>
        <v>3.9841970540295995E-3</v>
      </c>
      <c r="G2429" s="4">
        <f t="shared" si="1281"/>
        <v>3.9841970540295995E-3</v>
      </c>
      <c r="H2429" s="4">
        <f t="shared" si="1281"/>
        <v>3.9841970540295995E-3</v>
      </c>
      <c r="I2429" s="4">
        <f t="shared" si="1281"/>
        <v>3.9841970540295995E-3</v>
      </c>
      <c r="J2429" s="4">
        <f t="shared" si="1281"/>
        <v>3.9841970540295995E-3</v>
      </c>
      <c r="K2429" s="4">
        <f t="shared" si="1281"/>
        <v>3.9841970540295995E-3</v>
      </c>
      <c r="L2429" s="4">
        <f t="shared" si="1281"/>
        <v>3.9841970540295995E-3</v>
      </c>
      <c r="M2429" s="4">
        <f t="shared" si="1281"/>
        <v>3.9841970540295995E-3</v>
      </c>
      <c r="N2429" t="s">
        <v>242</v>
      </c>
      <c r="O2429" t="s">
        <v>289</v>
      </c>
      <c r="P2429" t="s">
        <v>384</v>
      </c>
      <c r="Q2429" s="4" t="s">
        <v>650</v>
      </c>
    </row>
    <row r="2430" spans="1:17" x14ac:dyDescent="0.25">
      <c r="A2430" t="s">
        <v>384</v>
      </c>
      <c r="B2430" t="s">
        <v>162</v>
      </c>
      <c r="C2430" s="4">
        <f t="shared" ref="C2430:M2430" si="1282">(0.139645918974656/(0.139645918974656+0.161885636831319+0.336648016439843)) * 3.54092270988011%</f>
        <v>7.7482173880829277E-3</v>
      </c>
      <c r="D2430" s="4">
        <f t="shared" si="1282"/>
        <v>7.7482173880829277E-3</v>
      </c>
      <c r="E2430" s="4">
        <f t="shared" si="1282"/>
        <v>7.7482173880829277E-3</v>
      </c>
      <c r="F2430" s="4">
        <f t="shared" si="1282"/>
        <v>7.7482173880829277E-3</v>
      </c>
      <c r="G2430" s="4">
        <f t="shared" si="1282"/>
        <v>7.7482173880829277E-3</v>
      </c>
      <c r="H2430" s="4">
        <f t="shared" si="1282"/>
        <v>7.7482173880829277E-3</v>
      </c>
      <c r="I2430" s="4">
        <f t="shared" si="1282"/>
        <v>7.7482173880829277E-3</v>
      </c>
      <c r="J2430" s="4">
        <f t="shared" si="1282"/>
        <v>7.7482173880829277E-3</v>
      </c>
      <c r="K2430" s="4">
        <f t="shared" si="1282"/>
        <v>7.7482173880829277E-3</v>
      </c>
      <c r="L2430" s="4">
        <f t="shared" si="1282"/>
        <v>7.7482173880829277E-3</v>
      </c>
      <c r="M2430" s="4">
        <f t="shared" si="1282"/>
        <v>7.7482173880829277E-3</v>
      </c>
      <c r="N2430" t="s">
        <v>242</v>
      </c>
      <c r="O2430" t="s">
        <v>386</v>
      </c>
      <c r="P2430" t="s">
        <v>384</v>
      </c>
      <c r="Q2430" s="4" t="s">
        <v>650</v>
      </c>
    </row>
    <row r="2431" spans="1:17" x14ac:dyDescent="0.25">
      <c r="A2431" t="s">
        <v>384</v>
      </c>
      <c r="B2431" t="s">
        <v>162</v>
      </c>
      <c r="C2431" s="4">
        <f t="shared" ref="C2431:M2431" si="1283">(0.161885636831319/(0.139645918974656+0.161885636831319+0.336648016439843)) * 3.54092270988011%</f>
        <v>8.982182332195103E-3</v>
      </c>
      <c r="D2431" s="4">
        <f t="shared" si="1283"/>
        <v>8.982182332195103E-3</v>
      </c>
      <c r="E2431" s="4">
        <f t="shared" si="1283"/>
        <v>8.982182332195103E-3</v>
      </c>
      <c r="F2431" s="4">
        <f t="shared" si="1283"/>
        <v>8.982182332195103E-3</v>
      </c>
      <c r="G2431" s="4">
        <f t="shared" si="1283"/>
        <v>8.982182332195103E-3</v>
      </c>
      <c r="H2431" s="4">
        <f t="shared" si="1283"/>
        <v>8.982182332195103E-3</v>
      </c>
      <c r="I2431" s="4">
        <f t="shared" si="1283"/>
        <v>8.982182332195103E-3</v>
      </c>
      <c r="J2431" s="4">
        <f t="shared" si="1283"/>
        <v>8.982182332195103E-3</v>
      </c>
      <c r="K2431" s="4">
        <f t="shared" si="1283"/>
        <v>8.982182332195103E-3</v>
      </c>
      <c r="L2431" s="4">
        <f t="shared" si="1283"/>
        <v>8.982182332195103E-3</v>
      </c>
      <c r="M2431" s="4">
        <f t="shared" si="1283"/>
        <v>8.982182332195103E-3</v>
      </c>
      <c r="N2431" t="s">
        <v>242</v>
      </c>
      <c r="O2431" t="s">
        <v>317</v>
      </c>
      <c r="P2431" t="s">
        <v>384</v>
      </c>
      <c r="Q2431" s="4" t="s">
        <v>650</v>
      </c>
    </row>
    <row r="2432" spans="1:17" x14ac:dyDescent="0.25">
      <c r="A2432" t="s">
        <v>384</v>
      </c>
      <c r="B2432" t="s">
        <v>162</v>
      </c>
      <c r="C2432" s="4">
        <f t="shared" ref="C2432:M2432" si="1284">(0.336648016439843/(0.139645918974656+0.161885636831319+0.336648016439843)) * 3.54092270988011%</f>
        <v>1.8678827378523069E-2</v>
      </c>
      <c r="D2432" s="4">
        <f t="shared" si="1284"/>
        <v>1.8678827378523069E-2</v>
      </c>
      <c r="E2432" s="4">
        <f t="shared" si="1284"/>
        <v>1.8678827378523069E-2</v>
      </c>
      <c r="F2432" s="4">
        <f t="shared" si="1284"/>
        <v>1.8678827378523069E-2</v>
      </c>
      <c r="G2432" s="4">
        <f t="shared" si="1284"/>
        <v>1.8678827378523069E-2</v>
      </c>
      <c r="H2432" s="4">
        <f t="shared" si="1284"/>
        <v>1.8678827378523069E-2</v>
      </c>
      <c r="I2432" s="4">
        <f t="shared" si="1284"/>
        <v>1.8678827378523069E-2</v>
      </c>
      <c r="J2432" s="4">
        <f t="shared" si="1284"/>
        <v>1.8678827378523069E-2</v>
      </c>
      <c r="K2432" s="4">
        <f t="shared" si="1284"/>
        <v>1.8678827378523069E-2</v>
      </c>
      <c r="L2432" s="4">
        <f t="shared" si="1284"/>
        <v>1.8678827378523069E-2</v>
      </c>
      <c r="M2432" s="4">
        <f t="shared" si="1284"/>
        <v>1.8678827378523069E-2</v>
      </c>
      <c r="N2432" t="s">
        <v>242</v>
      </c>
      <c r="O2432" t="s">
        <v>289</v>
      </c>
      <c r="P2432" t="s">
        <v>384</v>
      </c>
      <c r="Q2432" s="4" t="s">
        <v>650</v>
      </c>
    </row>
    <row r="2433" spans="1:17" x14ac:dyDescent="0.25">
      <c r="A2433" t="s">
        <v>384</v>
      </c>
      <c r="B2433" t="s">
        <v>176</v>
      </c>
      <c r="C2433" s="4">
        <f t="shared" ref="C2433:M2433" si="1285">(0.139645918974656/(0.139645918974656+0.161885636831319+0.336648016439843)) * 0.561282146712715%</f>
        <v>1.2281928878722177E-3</v>
      </c>
      <c r="D2433" s="4">
        <f t="shared" si="1285"/>
        <v>1.2281928878722177E-3</v>
      </c>
      <c r="E2433" s="4">
        <f t="shared" si="1285"/>
        <v>1.2281928878722177E-3</v>
      </c>
      <c r="F2433" s="4">
        <f t="shared" si="1285"/>
        <v>1.2281928878722177E-3</v>
      </c>
      <c r="G2433" s="4">
        <f t="shared" si="1285"/>
        <v>1.2281928878722177E-3</v>
      </c>
      <c r="H2433" s="4">
        <f t="shared" si="1285"/>
        <v>1.2281928878722177E-3</v>
      </c>
      <c r="I2433" s="4">
        <f t="shared" si="1285"/>
        <v>1.2281928878722177E-3</v>
      </c>
      <c r="J2433" s="4">
        <f t="shared" si="1285"/>
        <v>1.2281928878722177E-3</v>
      </c>
      <c r="K2433" s="4">
        <f t="shared" si="1285"/>
        <v>1.2281928878722177E-3</v>
      </c>
      <c r="L2433" s="4">
        <f t="shared" si="1285"/>
        <v>1.2281928878722177E-3</v>
      </c>
      <c r="M2433" s="4">
        <f t="shared" si="1285"/>
        <v>1.2281928878722177E-3</v>
      </c>
      <c r="N2433" t="s">
        <v>242</v>
      </c>
      <c r="O2433" t="s">
        <v>386</v>
      </c>
      <c r="P2433" t="s">
        <v>384</v>
      </c>
      <c r="Q2433" s="4" t="s">
        <v>650</v>
      </c>
    </row>
    <row r="2434" spans="1:17" x14ac:dyDescent="0.25">
      <c r="A2434" t="s">
        <v>384</v>
      </c>
      <c r="B2434" t="s">
        <v>176</v>
      </c>
      <c r="C2434" s="4">
        <f t="shared" ref="C2434:M2434" si="1286">(0.161885636831319/(0.139645918974656+0.161885636831319+0.336648016439843)) * 0.561282146712715%</f>
        <v>1.4237923260827649E-3</v>
      </c>
      <c r="D2434" s="4">
        <f t="shared" si="1286"/>
        <v>1.4237923260827649E-3</v>
      </c>
      <c r="E2434" s="4">
        <f t="shared" si="1286"/>
        <v>1.4237923260827649E-3</v>
      </c>
      <c r="F2434" s="4">
        <f t="shared" si="1286"/>
        <v>1.4237923260827649E-3</v>
      </c>
      <c r="G2434" s="4">
        <f t="shared" si="1286"/>
        <v>1.4237923260827649E-3</v>
      </c>
      <c r="H2434" s="4">
        <f t="shared" si="1286"/>
        <v>1.4237923260827649E-3</v>
      </c>
      <c r="I2434" s="4">
        <f t="shared" si="1286"/>
        <v>1.4237923260827649E-3</v>
      </c>
      <c r="J2434" s="4">
        <f t="shared" si="1286"/>
        <v>1.4237923260827649E-3</v>
      </c>
      <c r="K2434" s="4">
        <f t="shared" si="1286"/>
        <v>1.4237923260827649E-3</v>
      </c>
      <c r="L2434" s="4">
        <f t="shared" si="1286"/>
        <v>1.4237923260827649E-3</v>
      </c>
      <c r="M2434" s="4">
        <f t="shared" si="1286"/>
        <v>1.4237923260827649E-3</v>
      </c>
      <c r="N2434" t="s">
        <v>242</v>
      </c>
      <c r="O2434" t="s">
        <v>317</v>
      </c>
      <c r="P2434" t="s">
        <v>384</v>
      </c>
      <c r="Q2434" s="4" t="s">
        <v>650</v>
      </c>
    </row>
    <row r="2435" spans="1:17" x14ac:dyDescent="0.25">
      <c r="A2435" t="s">
        <v>384</v>
      </c>
      <c r="B2435" t="s">
        <v>176</v>
      </c>
      <c r="C2435" s="4">
        <f t="shared" ref="C2435:M2435" si="1287">(0.336648016439843/(0.139645918974656+0.161885636831319+0.336648016439843)) * 0.561282146712715%</f>
        <v>2.9608362531721678E-3</v>
      </c>
      <c r="D2435" s="4">
        <f t="shared" si="1287"/>
        <v>2.9608362531721678E-3</v>
      </c>
      <c r="E2435" s="4">
        <f t="shared" si="1287"/>
        <v>2.9608362531721678E-3</v>
      </c>
      <c r="F2435" s="4">
        <f t="shared" si="1287"/>
        <v>2.9608362531721678E-3</v>
      </c>
      <c r="G2435" s="4">
        <f t="shared" si="1287"/>
        <v>2.9608362531721678E-3</v>
      </c>
      <c r="H2435" s="4">
        <f t="shared" si="1287"/>
        <v>2.9608362531721678E-3</v>
      </c>
      <c r="I2435" s="4">
        <f t="shared" si="1287"/>
        <v>2.9608362531721678E-3</v>
      </c>
      <c r="J2435" s="4">
        <f t="shared" si="1287"/>
        <v>2.9608362531721678E-3</v>
      </c>
      <c r="K2435" s="4">
        <f t="shared" si="1287"/>
        <v>2.9608362531721678E-3</v>
      </c>
      <c r="L2435" s="4">
        <f t="shared" si="1287"/>
        <v>2.9608362531721678E-3</v>
      </c>
      <c r="M2435" s="4">
        <f t="shared" si="1287"/>
        <v>2.9608362531721678E-3</v>
      </c>
      <c r="N2435" t="s">
        <v>242</v>
      </c>
      <c r="O2435" t="s">
        <v>289</v>
      </c>
      <c r="P2435" t="s">
        <v>384</v>
      </c>
      <c r="Q2435" s="4" t="s">
        <v>650</v>
      </c>
    </row>
    <row r="2436" spans="1:17" x14ac:dyDescent="0.25">
      <c r="A2436" t="s">
        <v>384</v>
      </c>
      <c r="B2436" t="s">
        <v>132</v>
      </c>
      <c r="C2436" s="4">
        <f t="shared" ref="C2436:M2436" si="1288">(0.139645918974656/(0.139645918974656+0.161885636831319+0.336648016439843)) * 3.72882016264141%</f>
        <v>8.1593730189582735E-3</v>
      </c>
      <c r="D2436" s="4">
        <f t="shared" si="1288"/>
        <v>8.1593730189582735E-3</v>
      </c>
      <c r="E2436" s="4">
        <f t="shared" si="1288"/>
        <v>8.1593730189582735E-3</v>
      </c>
      <c r="F2436" s="4">
        <f t="shared" si="1288"/>
        <v>8.1593730189582735E-3</v>
      </c>
      <c r="G2436" s="4">
        <f t="shared" si="1288"/>
        <v>8.1593730189582735E-3</v>
      </c>
      <c r="H2436" s="4">
        <f t="shared" si="1288"/>
        <v>8.1593730189582735E-3</v>
      </c>
      <c r="I2436" s="4">
        <f t="shared" si="1288"/>
        <v>8.1593730189582735E-3</v>
      </c>
      <c r="J2436" s="4">
        <f t="shared" si="1288"/>
        <v>8.1593730189582735E-3</v>
      </c>
      <c r="K2436" s="4">
        <f t="shared" si="1288"/>
        <v>8.1593730189582735E-3</v>
      </c>
      <c r="L2436" s="4">
        <f t="shared" si="1288"/>
        <v>8.1593730189582735E-3</v>
      </c>
      <c r="M2436" s="4">
        <f t="shared" si="1288"/>
        <v>8.1593730189582735E-3</v>
      </c>
      <c r="N2436" t="s">
        <v>242</v>
      </c>
      <c r="O2436" t="s">
        <v>386</v>
      </c>
      <c r="P2436" t="s">
        <v>384</v>
      </c>
      <c r="Q2436" s="4" t="s">
        <v>650</v>
      </c>
    </row>
    <row r="2437" spans="1:17" x14ac:dyDescent="0.25">
      <c r="A2437" t="s">
        <v>384</v>
      </c>
      <c r="B2437" t="s">
        <v>132</v>
      </c>
      <c r="C2437" s="4">
        <f t="shared" ref="C2437:M2437" si="1289">(0.161885636831319/(0.139645918974656+0.161885636831319+0.336648016439843)) * 3.72882016264141%</f>
        <v>9.4588177514737578E-3</v>
      </c>
      <c r="D2437" s="4">
        <f t="shared" si="1289"/>
        <v>9.4588177514737578E-3</v>
      </c>
      <c r="E2437" s="4">
        <f t="shared" si="1289"/>
        <v>9.4588177514737578E-3</v>
      </c>
      <c r="F2437" s="4">
        <f t="shared" si="1289"/>
        <v>9.4588177514737578E-3</v>
      </c>
      <c r="G2437" s="4">
        <f t="shared" si="1289"/>
        <v>9.4588177514737578E-3</v>
      </c>
      <c r="H2437" s="4">
        <f t="shared" si="1289"/>
        <v>9.4588177514737578E-3</v>
      </c>
      <c r="I2437" s="4">
        <f t="shared" si="1289"/>
        <v>9.4588177514737578E-3</v>
      </c>
      <c r="J2437" s="4">
        <f t="shared" si="1289"/>
        <v>9.4588177514737578E-3</v>
      </c>
      <c r="K2437" s="4">
        <f t="shared" si="1289"/>
        <v>9.4588177514737578E-3</v>
      </c>
      <c r="L2437" s="4">
        <f t="shared" si="1289"/>
        <v>9.4588177514737578E-3</v>
      </c>
      <c r="M2437" s="4">
        <f t="shared" si="1289"/>
        <v>9.4588177514737578E-3</v>
      </c>
      <c r="N2437" t="s">
        <v>242</v>
      </c>
      <c r="O2437" t="s">
        <v>317</v>
      </c>
      <c r="P2437" t="s">
        <v>384</v>
      </c>
      <c r="Q2437" s="4" t="s">
        <v>650</v>
      </c>
    </row>
    <row r="2438" spans="1:17" x14ac:dyDescent="0.25">
      <c r="A2438" t="s">
        <v>384</v>
      </c>
      <c r="B2438" t="s">
        <v>132</v>
      </c>
      <c r="C2438" s="4">
        <f t="shared" ref="C2438:M2438" si="1290">(0.336648016439843/(0.139645918974656+0.161885636831319+0.336648016439843)) * 3.72882016264141%</f>
        <v>1.9670010855982072E-2</v>
      </c>
      <c r="D2438" s="4">
        <f t="shared" si="1290"/>
        <v>1.9670010855982072E-2</v>
      </c>
      <c r="E2438" s="4">
        <f t="shared" si="1290"/>
        <v>1.9670010855982072E-2</v>
      </c>
      <c r="F2438" s="4">
        <f t="shared" si="1290"/>
        <v>1.9670010855982072E-2</v>
      </c>
      <c r="G2438" s="4">
        <f t="shared" si="1290"/>
        <v>1.9670010855982072E-2</v>
      </c>
      <c r="H2438" s="4">
        <f t="shared" si="1290"/>
        <v>1.9670010855982072E-2</v>
      </c>
      <c r="I2438" s="4">
        <f t="shared" si="1290"/>
        <v>1.9670010855982072E-2</v>
      </c>
      <c r="J2438" s="4">
        <f t="shared" si="1290"/>
        <v>1.9670010855982072E-2</v>
      </c>
      <c r="K2438" s="4">
        <f t="shared" si="1290"/>
        <v>1.9670010855982072E-2</v>
      </c>
      <c r="L2438" s="4">
        <f t="shared" si="1290"/>
        <v>1.9670010855982072E-2</v>
      </c>
      <c r="M2438" s="4">
        <f t="shared" si="1290"/>
        <v>1.9670010855982072E-2</v>
      </c>
      <c r="N2438" t="s">
        <v>242</v>
      </c>
      <c r="O2438" t="s">
        <v>289</v>
      </c>
      <c r="P2438" t="s">
        <v>384</v>
      </c>
      <c r="Q2438" s="4" t="s">
        <v>650</v>
      </c>
    </row>
    <row r="2439" spans="1:17" x14ac:dyDescent="0.25">
      <c r="A2439" t="s">
        <v>384</v>
      </c>
      <c r="B2439" t="s">
        <v>151</v>
      </c>
      <c r="C2439" s="4">
        <f t="shared" ref="C2439:M2439" si="1291">(0.139645918974656/(0.139645918974656+0.161885636831319+0.336648016439843)) * 0.0292196882259266%</f>
        <v>6.3938276809818323E-5</v>
      </c>
      <c r="D2439" s="4">
        <f t="shared" si="1291"/>
        <v>6.3938276809818323E-5</v>
      </c>
      <c r="E2439" s="4">
        <f t="shared" si="1291"/>
        <v>6.3938276809818323E-5</v>
      </c>
      <c r="F2439" s="4">
        <f t="shared" si="1291"/>
        <v>6.3938276809818323E-5</v>
      </c>
      <c r="G2439" s="4">
        <f t="shared" si="1291"/>
        <v>6.3938276809818323E-5</v>
      </c>
      <c r="H2439" s="4">
        <f t="shared" si="1291"/>
        <v>6.3938276809818323E-5</v>
      </c>
      <c r="I2439" s="4">
        <f t="shared" si="1291"/>
        <v>6.3938276809818323E-5</v>
      </c>
      <c r="J2439" s="4">
        <f t="shared" si="1291"/>
        <v>6.3938276809818323E-5</v>
      </c>
      <c r="K2439" s="4">
        <f t="shared" si="1291"/>
        <v>6.3938276809818323E-5</v>
      </c>
      <c r="L2439" s="4">
        <f t="shared" si="1291"/>
        <v>6.3938276809818323E-5</v>
      </c>
      <c r="M2439" s="4">
        <f t="shared" si="1291"/>
        <v>6.3938276809818323E-5</v>
      </c>
      <c r="N2439" t="s">
        <v>242</v>
      </c>
      <c r="O2439" t="s">
        <v>386</v>
      </c>
      <c r="P2439" t="s">
        <v>384</v>
      </c>
      <c r="Q2439" s="4" t="s">
        <v>650</v>
      </c>
    </row>
    <row r="2440" spans="1:17" x14ac:dyDescent="0.25">
      <c r="A2440" t="s">
        <v>384</v>
      </c>
      <c r="B2440" t="s">
        <v>151</v>
      </c>
      <c r="C2440" s="4">
        <f t="shared" ref="C2440:M2440" si="1292">(0.161885636831319/(0.139645918974656+0.161885636831319+0.336648016439843)) * 0.0292196882259266%</f>
        <v>7.4120953446073261E-5</v>
      </c>
      <c r="D2440" s="4">
        <f t="shared" si="1292"/>
        <v>7.4120953446073261E-5</v>
      </c>
      <c r="E2440" s="4">
        <f t="shared" si="1292"/>
        <v>7.4120953446073261E-5</v>
      </c>
      <c r="F2440" s="4">
        <f t="shared" si="1292"/>
        <v>7.4120953446073261E-5</v>
      </c>
      <c r="G2440" s="4">
        <f t="shared" si="1292"/>
        <v>7.4120953446073261E-5</v>
      </c>
      <c r="H2440" s="4">
        <f t="shared" si="1292"/>
        <v>7.4120953446073261E-5</v>
      </c>
      <c r="I2440" s="4">
        <f t="shared" si="1292"/>
        <v>7.4120953446073261E-5</v>
      </c>
      <c r="J2440" s="4">
        <f t="shared" si="1292"/>
        <v>7.4120953446073261E-5</v>
      </c>
      <c r="K2440" s="4">
        <f t="shared" si="1292"/>
        <v>7.4120953446073261E-5</v>
      </c>
      <c r="L2440" s="4">
        <f t="shared" si="1292"/>
        <v>7.4120953446073261E-5</v>
      </c>
      <c r="M2440" s="4">
        <f t="shared" si="1292"/>
        <v>7.4120953446073261E-5</v>
      </c>
      <c r="N2440" t="s">
        <v>242</v>
      </c>
      <c r="O2440" t="s">
        <v>317</v>
      </c>
      <c r="P2440" t="s">
        <v>384</v>
      </c>
      <c r="Q2440" s="4" t="s">
        <v>650</v>
      </c>
    </row>
    <row r="2441" spans="1:17" x14ac:dyDescent="0.25">
      <c r="A2441" t="s">
        <v>384</v>
      </c>
      <c r="B2441" t="s">
        <v>151</v>
      </c>
      <c r="C2441" s="4">
        <f t="shared" ref="C2441:M2441" si="1293">(0.336648016439843/(0.139645918974656+0.161885636831319+0.336648016439843)) * 0.0292196882259266%</f>
        <v>1.5413765200337443E-4</v>
      </c>
      <c r="D2441" s="4">
        <f t="shared" si="1293"/>
        <v>1.5413765200337443E-4</v>
      </c>
      <c r="E2441" s="4">
        <f t="shared" si="1293"/>
        <v>1.5413765200337443E-4</v>
      </c>
      <c r="F2441" s="4">
        <f t="shared" si="1293"/>
        <v>1.5413765200337443E-4</v>
      </c>
      <c r="G2441" s="4">
        <f t="shared" si="1293"/>
        <v>1.5413765200337443E-4</v>
      </c>
      <c r="H2441" s="4">
        <f t="shared" si="1293"/>
        <v>1.5413765200337443E-4</v>
      </c>
      <c r="I2441" s="4">
        <f t="shared" si="1293"/>
        <v>1.5413765200337443E-4</v>
      </c>
      <c r="J2441" s="4">
        <f t="shared" si="1293"/>
        <v>1.5413765200337443E-4</v>
      </c>
      <c r="K2441" s="4">
        <f t="shared" si="1293"/>
        <v>1.5413765200337443E-4</v>
      </c>
      <c r="L2441" s="4">
        <f t="shared" si="1293"/>
        <v>1.5413765200337443E-4</v>
      </c>
      <c r="M2441" s="4">
        <f t="shared" si="1293"/>
        <v>1.5413765200337443E-4</v>
      </c>
      <c r="N2441" t="s">
        <v>242</v>
      </c>
      <c r="O2441" t="s">
        <v>289</v>
      </c>
      <c r="P2441" t="s">
        <v>384</v>
      </c>
      <c r="Q2441" s="4" t="s">
        <v>650</v>
      </c>
    </row>
    <row r="2442" spans="1:17" x14ac:dyDescent="0.25">
      <c r="A2442" t="s">
        <v>384</v>
      </c>
      <c r="B2442" t="s">
        <v>107</v>
      </c>
      <c r="C2442" s="4">
        <v>6.8517692645033032E-2</v>
      </c>
      <c r="D2442" s="4">
        <v>6.8517692645033032E-2</v>
      </c>
      <c r="E2442" s="4">
        <v>6.8517692645033032E-2</v>
      </c>
      <c r="F2442" s="4">
        <v>6.8517692645033032E-2</v>
      </c>
      <c r="G2442" s="4">
        <v>6.8517692645033032E-2</v>
      </c>
      <c r="H2442" s="4">
        <v>6.8517692645033032E-2</v>
      </c>
      <c r="I2442" s="4">
        <v>6.8517692645033032E-2</v>
      </c>
      <c r="J2442" s="4">
        <v>6.8517692645033032E-2</v>
      </c>
      <c r="K2442" s="4">
        <v>6.8517692645033032E-2</v>
      </c>
      <c r="L2442" s="4">
        <v>6.8517692645033032E-2</v>
      </c>
      <c r="M2442" s="4">
        <v>6.8517692645033032E-2</v>
      </c>
      <c r="N2442" t="s">
        <v>312</v>
      </c>
      <c r="O2442" t="s">
        <v>335</v>
      </c>
      <c r="P2442" t="s">
        <v>384</v>
      </c>
      <c r="Q2442" s="4" t="s">
        <v>650</v>
      </c>
    </row>
    <row r="2443" spans="1:17" x14ac:dyDescent="0.25">
      <c r="A2443" t="s">
        <v>384</v>
      </c>
      <c r="B2443" t="s">
        <v>137</v>
      </c>
      <c r="C2443" s="4">
        <v>1.557557957127784E-2</v>
      </c>
      <c r="D2443" s="4">
        <v>1.557557957127784E-2</v>
      </c>
      <c r="E2443" s="4">
        <v>1.557557957127784E-2</v>
      </c>
      <c r="F2443" s="4">
        <v>1.557557957127784E-2</v>
      </c>
      <c r="G2443" s="4">
        <v>1.557557957127784E-2</v>
      </c>
      <c r="H2443" s="4">
        <v>1.557557957127784E-2</v>
      </c>
      <c r="I2443" s="4">
        <v>1.557557957127784E-2</v>
      </c>
      <c r="J2443" s="4">
        <v>1.557557957127784E-2</v>
      </c>
      <c r="K2443" s="4">
        <v>1.557557957127784E-2</v>
      </c>
      <c r="L2443" s="4">
        <v>1.557557957127784E-2</v>
      </c>
      <c r="M2443" s="4">
        <v>1.557557957127784E-2</v>
      </c>
      <c r="N2443" t="s">
        <v>320</v>
      </c>
      <c r="O2443" t="s">
        <v>337</v>
      </c>
      <c r="P2443" t="s">
        <v>384</v>
      </c>
      <c r="Q2443" s="4" t="s">
        <v>650</v>
      </c>
    </row>
    <row r="2444" spans="1:17" x14ac:dyDescent="0.25">
      <c r="A2444" t="s">
        <v>384</v>
      </c>
      <c r="B2444" t="s">
        <v>122</v>
      </c>
      <c r="C2444" s="4">
        <f t="shared" ref="C2444:M2444" si="1294">(0.139645918974656/(0.139645918974656+0.161885636831319+0.336648016439843)) * 0.625053703558339%</f>
        <v>1.3677372739266404E-3</v>
      </c>
      <c r="D2444" s="4">
        <f t="shared" si="1294"/>
        <v>1.3677372739266404E-3</v>
      </c>
      <c r="E2444" s="4">
        <f t="shared" si="1294"/>
        <v>1.3677372739266404E-3</v>
      </c>
      <c r="F2444" s="4">
        <f t="shared" si="1294"/>
        <v>1.3677372739266404E-3</v>
      </c>
      <c r="G2444" s="4">
        <f t="shared" si="1294"/>
        <v>1.3677372739266404E-3</v>
      </c>
      <c r="H2444" s="4">
        <f t="shared" si="1294"/>
        <v>1.3677372739266404E-3</v>
      </c>
      <c r="I2444" s="4">
        <f t="shared" si="1294"/>
        <v>1.3677372739266404E-3</v>
      </c>
      <c r="J2444" s="4">
        <f t="shared" si="1294"/>
        <v>1.3677372739266404E-3</v>
      </c>
      <c r="K2444" s="4">
        <f t="shared" si="1294"/>
        <v>1.3677372739266404E-3</v>
      </c>
      <c r="L2444" s="4">
        <f t="shared" si="1294"/>
        <v>1.3677372739266404E-3</v>
      </c>
      <c r="M2444" s="4">
        <f t="shared" si="1294"/>
        <v>1.3677372739266404E-3</v>
      </c>
      <c r="N2444" t="s">
        <v>242</v>
      </c>
      <c r="O2444" t="s">
        <v>386</v>
      </c>
      <c r="P2444" t="s">
        <v>384</v>
      </c>
      <c r="Q2444" s="4" t="s">
        <v>650</v>
      </c>
    </row>
    <row r="2445" spans="1:17" x14ac:dyDescent="0.25">
      <c r="A2445" t="s">
        <v>384</v>
      </c>
      <c r="B2445" t="s">
        <v>122</v>
      </c>
      <c r="C2445" s="4">
        <f t="shared" ref="C2445:M2445" si="1295">(0.161885636831319/(0.139645918974656+0.161885636831319+0.336648016439843)) * 0.625053703558339%</f>
        <v>1.5855602600726975E-3</v>
      </c>
      <c r="D2445" s="4">
        <f t="shared" si="1295"/>
        <v>1.5855602600726975E-3</v>
      </c>
      <c r="E2445" s="4">
        <f t="shared" si="1295"/>
        <v>1.5855602600726975E-3</v>
      </c>
      <c r="F2445" s="4">
        <f t="shared" si="1295"/>
        <v>1.5855602600726975E-3</v>
      </c>
      <c r="G2445" s="4">
        <f t="shared" si="1295"/>
        <v>1.5855602600726975E-3</v>
      </c>
      <c r="H2445" s="4">
        <f t="shared" si="1295"/>
        <v>1.5855602600726975E-3</v>
      </c>
      <c r="I2445" s="4">
        <f t="shared" si="1295"/>
        <v>1.5855602600726975E-3</v>
      </c>
      <c r="J2445" s="4">
        <f t="shared" si="1295"/>
        <v>1.5855602600726975E-3</v>
      </c>
      <c r="K2445" s="4">
        <f t="shared" si="1295"/>
        <v>1.5855602600726975E-3</v>
      </c>
      <c r="L2445" s="4">
        <f t="shared" si="1295"/>
        <v>1.5855602600726975E-3</v>
      </c>
      <c r="M2445" s="4">
        <f t="shared" si="1295"/>
        <v>1.5855602600726975E-3</v>
      </c>
      <c r="N2445" t="s">
        <v>242</v>
      </c>
      <c r="O2445" t="s">
        <v>317</v>
      </c>
      <c r="P2445" t="s">
        <v>384</v>
      </c>
      <c r="Q2445" s="4" t="s">
        <v>650</v>
      </c>
    </row>
    <row r="2446" spans="1:17" x14ac:dyDescent="0.25">
      <c r="A2446" t="s">
        <v>384</v>
      </c>
      <c r="B2446" t="s">
        <v>122</v>
      </c>
      <c r="C2446" s="4">
        <f t="shared" ref="C2446:M2446" si="1296">(0.336648016439843/(0.139645918974656+0.161885636831319+0.336648016439843)) * 0.625053703558339%</f>
        <v>3.2972395015840521E-3</v>
      </c>
      <c r="D2446" s="4">
        <f t="shared" si="1296"/>
        <v>3.2972395015840521E-3</v>
      </c>
      <c r="E2446" s="4">
        <f t="shared" si="1296"/>
        <v>3.2972395015840521E-3</v>
      </c>
      <c r="F2446" s="4">
        <f t="shared" si="1296"/>
        <v>3.2972395015840521E-3</v>
      </c>
      <c r="G2446" s="4">
        <f t="shared" si="1296"/>
        <v>3.2972395015840521E-3</v>
      </c>
      <c r="H2446" s="4">
        <f t="shared" si="1296"/>
        <v>3.2972395015840521E-3</v>
      </c>
      <c r="I2446" s="4">
        <f t="shared" si="1296"/>
        <v>3.2972395015840521E-3</v>
      </c>
      <c r="J2446" s="4">
        <f t="shared" si="1296"/>
        <v>3.2972395015840521E-3</v>
      </c>
      <c r="K2446" s="4">
        <f t="shared" si="1296"/>
        <v>3.2972395015840521E-3</v>
      </c>
      <c r="L2446" s="4">
        <f t="shared" si="1296"/>
        <v>3.2972395015840521E-3</v>
      </c>
      <c r="M2446" s="4">
        <f t="shared" si="1296"/>
        <v>3.2972395015840521E-3</v>
      </c>
      <c r="N2446" t="s">
        <v>242</v>
      </c>
      <c r="O2446" t="s">
        <v>289</v>
      </c>
      <c r="P2446" t="s">
        <v>384</v>
      </c>
      <c r="Q2446" s="4" t="s">
        <v>650</v>
      </c>
    </row>
    <row r="2447" spans="1:17" x14ac:dyDescent="0.25">
      <c r="A2447" t="s">
        <v>384</v>
      </c>
      <c r="B2447" t="s">
        <v>140</v>
      </c>
      <c r="C2447" s="4">
        <f t="shared" ref="C2447:M2447" si="1297">(0.139645918974656/(0.139645918974656+0.161885636831319+0.336648016439843)) * 1.45362171019534%</f>
        <v>3.1808028396676643E-3</v>
      </c>
      <c r="D2447" s="4">
        <f t="shared" si="1297"/>
        <v>3.1808028396676643E-3</v>
      </c>
      <c r="E2447" s="4">
        <f t="shared" si="1297"/>
        <v>3.1808028396676643E-3</v>
      </c>
      <c r="F2447" s="4">
        <f t="shared" si="1297"/>
        <v>3.1808028396676643E-3</v>
      </c>
      <c r="G2447" s="4">
        <f t="shared" si="1297"/>
        <v>3.1808028396676643E-3</v>
      </c>
      <c r="H2447" s="4">
        <f t="shared" si="1297"/>
        <v>3.1808028396676643E-3</v>
      </c>
      <c r="I2447" s="4">
        <f t="shared" si="1297"/>
        <v>3.1808028396676643E-3</v>
      </c>
      <c r="J2447" s="4">
        <f t="shared" si="1297"/>
        <v>3.1808028396676643E-3</v>
      </c>
      <c r="K2447" s="4">
        <f t="shared" si="1297"/>
        <v>3.1808028396676643E-3</v>
      </c>
      <c r="L2447" s="4">
        <f t="shared" si="1297"/>
        <v>3.1808028396676643E-3</v>
      </c>
      <c r="M2447" s="4">
        <f t="shared" si="1297"/>
        <v>3.1808028396676643E-3</v>
      </c>
      <c r="N2447" t="s">
        <v>242</v>
      </c>
      <c r="O2447" t="s">
        <v>386</v>
      </c>
      <c r="P2447" t="s">
        <v>384</v>
      </c>
      <c r="Q2447" s="4" t="s">
        <v>650</v>
      </c>
    </row>
    <row r="2448" spans="1:17" x14ac:dyDescent="0.25">
      <c r="A2448" t="s">
        <v>384</v>
      </c>
      <c r="B2448" t="s">
        <v>140</v>
      </c>
      <c r="C2448" s="4">
        <f t="shared" ref="C2448:M2448" si="1298">(0.161885636831319/(0.139645918974656+0.161885636831319+0.336648016439843)) * 1.45362171019534%</f>
        <v>3.6873708670850636E-3</v>
      </c>
      <c r="D2448" s="4">
        <f t="shared" si="1298"/>
        <v>3.6873708670850636E-3</v>
      </c>
      <c r="E2448" s="4">
        <f t="shared" si="1298"/>
        <v>3.6873708670850636E-3</v>
      </c>
      <c r="F2448" s="4">
        <f t="shared" si="1298"/>
        <v>3.6873708670850636E-3</v>
      </c>
      <c r="G2448" s="4">
        <f t="shared" si="1298"/>
        <v>3.6873708670850636E-3</v>
      </c>
      <c r="H2448" s="4">
        <f t="shared" si="1298"/>
        <v>3.6873708670850636E-3</v>
      </c>
      <c r="I2448" s="4">
        <f t="shared" si="1298"/>
        <v>3.6873708670850636E-3</v>
      </c>
      <c r="J2448" s="4">
        <f t="shared" si="1298"/>
        <v>3.6873708670850636E-3</v>
      </c>
      <c r="K2448" s="4">
        <f t="shared" si="1298"/>
        <v>3.6873708670850636E-3</v>
      </c>
      <c r="L2448" s="4">
        <f t="shared" si="1298"/>
        <v>3.6873708670850636E-3</v>
      </c>
      <c r="M2448" s="4">
        <f t="shared" si="1298"/>
        <v>3.6873708670850636E-3</v>
      </c>
      <c r="N2448" t="s">
        <v>242</v>
      </c>
      <c r="O2448" t="s">
        <v>317</v>
      </c>
      <c r="P2448" t="s">
        <v>384</v>
      </c>
      <c r="Q2448" s="4" t="s">
        <v>650</v>
      </c>
    </row>
    <row r="2449" spans="1:17" x14ac:dyDescent="0.25">
      <c r="A2449" t="s">
        <v>384</v>
      </c>
      <c r="B2449" t="s">
        <v>140</v>
      </c>
      <c r="C2449" s="4">
        <f t="shared" ref="C2449:M2449" si="1299">(0.336648016439843/(0.139645918974656+0.161885636831319+0.336648016439843)) * 1.45362171019534%</f>
        <v>7.6680433952006719E-3</v>
      </c>
      <c r="D2449" s="4">
        <f t="shared" si="1299"/>
        <v>7.6680433952006719E-3</v>
      </c>
      <c r="E2449" s="4">
        <f t="shared" si="1299"/>
        <v>7.6680433952006719E-3</v>
      </c>
      <c r="F2449" s="4">
        <f t="shared" si="1299"/>
        <v>7.6680433952006719E-3</v>
      </c>
      <c r="G2449" s="4">
        <f t="shared" si="1299"/>
        <v>7.6680433952006719E-3</v>
      </c>
      <c r="H2449" s="4">
        <f t="shared" si="1299"/>
        <v>7.6680433952006719E-3</v>
      </c>
      <c r="I2449" s="4">
        <f t="shared" si="1299"/>
        <v>7.6680433952006719E-3</v>
      </c>
      <c r="J2449" s="4">
        <f t="shared" si="1299"/>
        <v>7.6680433952006719E-3</v>
      </c>
      <c r="K2449" s="4">
        <f t="shared" si="1299"/>
        <v>7.6680433952006719E-3</v>
      </c>
      <c r="L2449" s="4">
        <f t="shared" si="1299"/>
        <v>7.6680433952006719E-3</v>
      </c>
      <c r="M2449" s="4">
        <f t="shared" si="1299"/>
        <v>7.6680433952006719E-3</v>
      </c>
      <c r="N2449" t="s">
        <v>242</v>
      </c>
      <c r="O2449" t="s">
        <v>289</v>
      </c>
      <c r="P2449" t="s">
        <v>384</v>
      </c>
      <c r="Q2449" s="4" t="s">
        <v>650</v>
      </c>
    </row>
    <row r="2450" spans="1:17" x14ac:dyDescent="0.25">
      <c r="A2450" t="s">
        <v>393</v>
      </c>
      <c r="B2450" t="s">
        <v>183</v>
      </c>
      <c r="C2450" s="4">
        <v>5.4091216230614577E-3</v>
      </c>
      <c r="D2450" s="4">
        <v>5.4091216230614577E-3</v>
      </c>
      <c r="E2450" s="4">
        <v>5.4091216230614577E-3</v>
      </c>
      <c r="F2450" s="4">
        <v>5.4091216230614577E-3</v>
      </c>
      <c r="G2450" s="4">
        <v>5.4091216230614577E-3</v>
      </c>
      <c r="H2450" s="4">
        <v>5.4091216230614577E-3</v>
      </c>
      <c r="I2450" s="4">
        <v>5.4091216230614577E-3</v>
      </c>
      <c r="J2450" s="4">
        <v>5.4091216230614577E-3</v>
      </c>
      <c r="K2450" s="4">
        <v>5.4091216230614577E-3</v>
      </c>
      <c r="L2450" s="4">
        <v>5.4091216230614577E-3</v>
      </c>
      <c r="M2450" s="4">
        <v>5.4091216230614577E-3</v>
      </c>
      <c r="N2450" t="s">
        <v>256</v>
      </c>
      <c r="O2450" t="s">
        <v>392</v>
      </c>
      <c r="P2450" t="s">
        <v>393</v>
      </c>
      <c r="Q2450" s="4" t="s">
        <v>245</v>
      </c>
    </row>
    <row r="2451" spans="1:17" x14ac:dyDescent="0.25">
      <c r="A2451" t="s">
        <v>393</v>
      </c>
      <c r="B2451" t="s">
        <v>83</v>
      </c>
      <c r="C2451" s="4">
        <v>3.7626963919784552E-3</v>
      </c>
      <c r="D2451" s="4">
        <v>3.7626963919784552E-3</v>
      </c>
      <c r="E2451" s="4">
        <v>3.7626963919784552E-3</v>
      </c>
      <c r="F2451" s="4">
        <v>3.7626963919784552E-3</v>
      </c>
      <c r="G2451" s="4">
        <v>3.7626963919784552E-3</v>
      </c>
      <c r="H2451" s="4">
        <v>3.7626963919784552E-3</v>
      </c>
      <c r="I2451" s="4">
        <v>3.7626963919784552E-3</v>
      </c>
      <c r="J2451" s="4">
        <v>3.7626963919784552E-3</v>
      </c>
      <c r="K2451" s="4">
        <v>3.7626963919784552E-3</v>
      </c>
      <c r="L2451" s="4">
        <v>3.7626963919784552E-3</v>
      </c>
      <c r="M2451" s="4">
        <v>3.7626963919784552E-3</v>
      </c>
      <c r="N2451" t="s">
        <v>256</v>
      </c>
      <c r="O2451" t="s">
        <v>392</v>
      </c>
      <c r="P2451" t="s">
        <v>393</v>
      </c>
      <c r="Q2451" s="4" t="s">
        <v>245</v>
      </c>
    </row>
    <row r="2452" spans="1:17" x14ac:dyDescent="0.25">
      <c r="A2452" t="s">
        <v>393</v>
      </c>
      <c r="B2452" t="s">
        <v>85</v>
      </c>
      <c r="C2452" s="4">
        <v>2.3759660780296971E-2</v>
      </c>
      <c r="D2452" s="4">
        <v>2.3759660780296971E-2</v>
      </c>
      <c r="E2452" s="4">
        <v>2.3759660780296971E-2</v>
      </c>
      <c r="F2452" s="4">
        <v>2.3759660780296971E-2</v>
      </c>
      <c r="G2452" s="4">
        <v>2.3759660780296971E-2</v>
      </c>
      <c r="H2452" s="4">
        <v>2.3759660780296971E-2</v>
      </c>
      <c r="I2452" s="4">
        <v>2.3759660780296971E-2</v>
      </c>
      <c r="J2452" s="4">
        <v>2.3759660780296971E-2</v>
      </c>
      <c r="K2452" s="4">
        <v>2.3759660780296971E-2</v>
      </c>
      <c r="L2452" s="4">
        <v>2.3759660780296971E-2</v>
      </c>
      <c r="M2452" s="4">
        <v>2.3759660780296971E-2</v>
      </c>
      <c r="N2452" t="s">
        <v>256</v>
      </c>
      <c r="O2452" t="s">
        <v>392</v>
      </c>
      <c r="P2452" t="s">
        <v>393</v>
      </c>
      <c r="Q2452" s="4" t="s">
        <v>245</v>
      </c>
    </row>
    <row r="2453" spans="1:17" x14ac:dyDescent="0.25">
      <c r="A2453" t="s">
        <v>393</v>
      </c>
      <c r="B2453" t="s">
        <v>186</v>
      </c>
      <c r="C2453" s="4">
        <v>7.1980364967208426E-6</v>
      </c>
      <c r="D2453" s="4">
        <v>7.1980364967208426E-6</v>
      </c>
      <c r="E2453" s="4">
        <v>7.1980364967208426E-6</v>
      </c>
      <c r="F2453" s="4">
        <v>7.1980364967208426E-6</v>
      </c>
      <c r="G2453" s="4">
        <v>7.1980364967208426E-6</v>
      </c>
      <c r="H2453" s="4">
        <v>7.1980364967208426E-6</v>
      </c>
      <c r="I2453" s="4">
        <v>7.1980364967208426E-6</v>
      </c>
      <c r="J2453" s="4">
        <v>7.1980364967208426E-6</v>
      </c>
      <c r="K2453" s="4">
        <v>7.1980364967208426E-6</v>
      </c>
      <c r="L2453" s="4">
        <v>7.1980364967208426E-6</v>
      </c>
      <c r="M2453" s="4">
        <v>7.1980364967208426E-6</v>
      </c>
      <c r="N2453" t="s">
        <v>256</v>
      </c>
      <c r="O2453" t="s">
        <v>392</v>
      </c>
      <c r="P2453" t="s">
        <v>393</v>
      </c>
      <c r="Q2453" s="4" t="s">
        <v>245</v>
      </c>
    </row>
    <row r="2454" spans="1:17" x14ac:dyDescent="0.25">
      <c r="A2454" t="s">
        <v>393</v>
      </c>
      <c r="B2454" t="s">
        <v>145</v>
      </c>
      <c r="C2454" s="4">
        <v>1.3938574338297469E-5</v>
      </c>
      <c r="D2454" s="4">
        <v>1.3938574338297469E-5</v>
      </c>
      <c r="E2454" s="4">
        <v>1.3938574338297469E-5</v>
      </c>
      <c r="F2454" s="4">
        <v>1.3938574338297469E-5</v>
      </c>
      <c r="G2454" s="4">
        <v>1.3938574338297469E-5</v>
      </c>
      <c r="H2454" s="4">
        <v>1.3938574338297469E-5</v>
      </c>
      <c r="I2454" s="4">
        <v>1.3938574338297469E-5</v>
      </c>
      <c r="J2454" s="4">
        <v>1.3938574338297469E-5</v>
      </c>
      <c r="K2454" s="4">
        <v>1.3938574338297469E-5</v>
      </c>
      <c r="L2454" s="4">
        <v>1.3938574338297469E-5</v>
      </c>
      <c r="M2454" s="4">
        <v>1.3938574338297469E-5</v>
      </c>
      <c r="N2454" t="s">
        <v>256</v>
      </c>
      <c r="O2454" t="s">
        <v>392</v>
      </c>
      <c r="P2454" t="s">
        <v>393</v>
      </c>
      <c r="Q2454" s="4" t="s">
        <v>245</v>
      </c>
    </row>
    <row r="2455" spans="1:17" x14ac:dyDescent="0.25">
      <c r="A2455" t="s">
        <v>393</v>
      </c>
      <c r="B2455" t="s">
        <v>86</v>
      </c>
      <c r="C2455" s="4">
        <v>0.42098697608395602</v>
      </c>
      <c r="D2455" s="4">
        <v>0.42098697608395602</v>
      </c>
      <c r="E2455" s="4">
        <v>0.42098697608395602</v>
      </c>
      <c r="F2455" s="4">
        <v>0.42098697608395602</v>
      </c>
      <c r="G2455" s="4">
        <v>0.42098697608395602</v>
      </c>
      <c r="H2455" s="4">
        <v>0.42098697608395602</v>
      </c>
      <c r="I2455" s="4">
        <v>0.42098697608395602</v>
      </c>
      <c r="J2455" s="4">
        <v>0.42098697608395602</v>
      </c>
      <c r="K2455" s="4">
        <v>0.42098697608395602</v>
      </c>
      <c r="L2455" s="4">
        <v>0.42098697608395602</v>
      </c>
      <c r="M2455" s="4">
        <v>0.42098697608395602</v>
      </c>
      <c r="N2455" t="s">
        <v>256</v>
      </c>
      <c r="O2455" t="s">
        <v>392</v>
      </c>
      <c r="P2455" t="s">
        <v>393</v>
      </c>
      <c r="Q2455" s="4" t="s">
        <v>245</v>
      </c>
    </row>
    <row r="2456" spans="1:17" x14ac:dyDescent="0.25">
      <c r="A2456" t="s">
        <v>393</v>
      </c>
      <c r="B2456" t="s">
        <v>233</v>
      </c>
      <c r="C2456" s="4">
        <v>2.3220867468094989E-3</v>
      </c>
      <c r="D2456" s="4">
        <v>2.3220867468094989E-3</v>
      </c>
      <c r="E2456" s="4">
        <v>2.3220867468094989E-3</v>
      </c>
      <c r="F2456" s="4">
        <v>2.3220867468094989E-3</v>
      </c>
      <c r="G2456" s="4">
        <v>2.3220867468094989E-3</v>
      </c>
      <c r="H2456" s="4">
        <v>2.3220867468094989E-3</v>
      </c>
      <c r="I2456" s="4">
        <v>2.3220867468094989E-3</v>
      </c>
      <c r="J2456" s="4">
        <v>2.3220867468094989E-3</v>
      </c>
      <c r="K2456" s="4">
        <v>2.3220867468094989E-3</v>
      </c>
      <c r="L2456" s="4">
        <v>2.3220867468094989E-3</v>
      </c>
      <c r="M2456" s="4">
        <v>2.3220867468094989E-3</v>
      </c>
      <c r="N2456" t="s">
        <v>256</v>
      </c>
      <c r="O2456" t="s">
        <v>392</v>
      </c>
      <c r="P2456" t="s">
        <v>393</v>
      </c>
      <c r="Q2456" s="4" t="s">
        <v>245</v>
      </c>
    </row>
    <row r="2457" spans="1:17" x14ac:dyDescent="0.25">
      <c r="A2457" t="s">
        <v>393</v>
      </c>
      <c r="B2457" t="s">
        <v>87</v>
      </c>
      <c r="C2457" s="4">
        <v>2.5343436370402092E-4</v>
      </c>
      <c r="D2457" s="4">
        <v>2.5343436370402092E-4</v>
      </c>
      <c r="E2457" s="4">
        <v>2.5343436370402092E-4</v>
      </c>
      <c r="F2457" s="4">
        <v>2.5343436370402092E-4</v>
      </c>
      <c r="G2457" s="4">
        <v>2.5343436370402092E-4</v>
      </c>
      <c r="H2457" s="4">
        <v>2.5343436370402092E-4</v>
      </c>
      <c r="I2457" s="4">
        <v>2.5343436370402092E-4</v>
      </c>
      <c r="J2457" s="4">
        <v>2.5343436370402092E-4</v>
      </c>
      <c r="K2457" s="4">
        <v>2.5343436370402092E-4</v>
      </c>
      <c r="L2457" s="4">
        <v>2.5343436370402092E-4</v>
      </c>
      <c r="M2457" s="4">
        <v>2.5343436370402092E-4</v>
      </c>
      <c r="N2457" t="s">
        <v>256</v>
      </c>
      <c r="O2457" t="s">
        <v>392</v>
      </c>
      <c r="P2457" t="s">
        <v>393</v>
      </c>
      <c r="Q2457" s="4" t="s">
        <v>245</v>
      </c>
    </row>
    <row r="2458" spans="1:17" x14ac:dyDescent="0.25">
      <c r="A2458" t="s">
        <v>393</v>
      </c>
      <c r="B2458" t="s">
        <v>160</v>
      </c>
      <c r="C2458" s="4">
        <v>2.5945103316307259E-6</v>
      </c>
      <c r="D2458" s="4">
        <v>2.5945103316307259E-6</v>
      </c>
      <c r="E2458" s="4">
        <v>2.5945103316307259E-6</v>
      </c>
      <c r="F2458" s="4">
        <v>2.5945103316307259E-6</v>
      </c>
      <c r="G2458" s="4">
        <v>2.5945103316307259E-6</v>
      </c>
      <c r="H2458" s="4">
        <v>2.5945103316307259E-6</v>
      </c>
      <c r="I2458" s="4">
        <v>2.5945103316307259E-6</v>
      </c>
      <c r="J2458" s="4">
        <v>2.5945103316307259E-6</v>
      </c>
      <c r="K2458" s="4">
        <v>2.5945103316307259E-6</v>
      </c>
      <c r="L2458" s="4">
        <v>2.5945103316307259E-6</v>
      </c>
      <c r="M2458" s="4">
        <v>2.5945103316307259E-6</v>
      </c>
      <c r="N2458" t="s">
        <v>256</v>
      </c>
      <c r="O2458" t="s">
        <v>392</v>
      </c>
      <c r="P2458" t="s">
        <v>393</v>
      </c>
      <c r="Q2458" s="4" t="s">
        <v>245</v>
      </c>
    </row>
    <row r="2459" spans="1:17" x14ac:dyDescent="0.25">
      <c r="A2459" t="s">
        <v>393</v>
      </c>
      <c r="B2459" t="s">
        <v>128</v>
      </c>
      <c r="C2459" s="4">
        <v>1.2457973775713531E-2</v>
      </c>
      <c r="D2459" s="4">
        <v>1.2457973775713531E-2</v>
      </c>
      <c r="E2459" s="4">
        <v>1.2457973775713531E-2</v>
      </c>
      <c r="F2459" s="4">
        <v>1.2457973775713531E-2</v>
      </c>
      <c r="G2459" s="4">
        <v>1.2457973775713531E-2</v>
      </c>
      <c r="H2459" s="4">
        <v>1.2457973775713531E-2</v>
      </c>
      <c r="I2459" s="4">
        <v>1.2457973775713531E-2</v>
      </c>
      <c r="J2459" s="4">
        <v>1.2457973775713531E-2</v>
      </c>
      <c r="K2459" s="4">
        <v>1.2457973775713531E-2</v>
      </c>
      <c r="L2459" s="4">
        <v>1.2457973775713531E-2</v>
      </c>
      <c r="M2459" s="4">
        <v>1.2457973775713531E-2</v>
      </c>
      <c r="N2459" t="s">
        <v>256</v>
      </c>
      <c r="O2459" t="s">
        <v>392</v>
      </c>
      <c r="P2459" t="s">
        <v>393</v>
      </c>
      <c r="Q2459" s="4" t="s">
        <v>245</v>
      </c>
    </row>
    <row r="2460" spans="1:17" x14ac:dyDescent="0.25">
      <c r="A2460" t="s">
        <v>393</v>
      </c>
      <c r="B2460" t="s">
        <v>154</v>
      </c>
      <c r="C2460" s="4">
        <v>4.2788534663737348E-3</v>
      </c>
      <c r="D2460" s="4">
        <v>4.2788534663737348E-3</v>
      </c>
      <c r="E2460" s="4">
        <v>4.2788534663737348E-3</v>
      </c>
      <c r="F2460" s="4">
        <v>4.2788534663737348E-3</v>
      </c>
      <c r="G2460" s="4">
        <v>4.2788534663737348E-3</v>
      </c>
      <c r="H2460" s="4">
        <v>4.2788534663737348E-3</v>
      </c>
      <c r="I2460" s="4">
        <v>4.2788534663737348E-3</v>
      </c>
      <c r="J2460" s="4">
        <v>4.2788534663737348E-3</v>
      </c>
      <c r="K2460" s="4">
        <v>4.2788534663737348E-3</v>
      </c>
      <c r="L2460" s="4">
        <v>4.2788534663737348E-3</v>
      </c>
      <c r="M2460" s="4">
        <v>4.2788534663737348E-3</v>
      </c>
      <c r="N2460" t="s">
        <v>333</v>
      </c>
      <c r="O2460" t="s">
        <v>392</v>
      </c>
      <c r="P2460" t="s">
        <v>393</v>
      </c>
      <c r="Q2460" s="4" t="s">
        <v>245</v>
      </c>
    </row>
    <row r="2461" spans="1:17" x14ac:dyDescent="0.25">
      <c r="A2461" t="s">
        <v>393</v>
      </c>
      <c r="B2461" t="s">
        <v>97</v>
      </c>
      <c r="C2461" s="4">
        <v>6.1369146348814107E-3</v>
      </c>
      <c r="D2461" s="4">
        <v>6.1369146348814107E-3</v>
      </c>
      <c r="E2461" s="4">
        <v>6.1369146348814107E-3</v>
      </c>
      <c r="F2461" s="4">
        <v>6.1369146348814107E-3</v>
      </c>
      <c r="G2461" s="4">
        <v>6.1369146348814107E-3</v>
      </c>
      <c r="H2461" s="4">
        <v>6.1369146348814107E-3</v>
      </c>
      <c r="I2461" s="4">
        <v>6.1369146348814107E-3</v>
      </c>
      <c r="J2461" s="4">
        <v>6.1369146348814107E-3</v>
      </c>
      <c r="K2461" s="4">
        <v>6.1369146348814107E-3</v>
      </c>
      <c r="L2461" s="4">
        <v>6.1369146348814107E-3</v>
      </c>
      <c r="M2461" s="4">
        <v>6.1369146348814107E-3</v>
      </c>
      <c r="N2461" t="s">
        <v>256</v>
      </c>
      <c r="O2461" t="s">
        <v>392</v>
      </c>
      <c r="P2461" t="s">
        <v>393</v>
      </c>
      <c r="Q2461" s="4" t="s">
        <v>245</v>
      </c>
    </row>
    <row r="2462" spans="1:17" x14ac:dyDescent="0.25">
      <c r="A2462" t="s">
        <v>393</v>
      </c>
      <c r="B2462" t="s">
        <v>99</v>
      </c>
      <c r="C2462" s="4">
        <v>3.9053088413772011E-4</v>
      </c>
      <c r="D2462" s="4">
        <v>3.9053088413772011E-4</v>
      </c>
      <c r="E2462" s="4">
        <v>3.9053088413772011E-4</v>
      </c>
      <c r="F2462" s="4">
        <v>3.9053088413772011E-4</v>
      </c>
      <c r="G2462" s="4">
        <v>3.9053088413772011E-4</v>
      </c>
      <c r="H2462" s="4">
        <v>3.9053088413772011E-4</v>
      </c>
      <c r="I2462" s="4">
        <v>3.9053088413772011E-4</v>
      </c>
      <c r="J2462" s="4">
        <v>3.9053088413772011E-4</v>
      </c>
      <c r="K2462" s="4">
        <v>3.9053088413772011E-4</v>
      </c>
      <c r="L2462" s="4">
        <v>3.9053088413772011E-4</v>
      </c>
      <c r="M2462" s="4">
        <v>3.9053088413772011E-4</v>
      </c>
      <c r="N2462" t="s">
        <v>256</v>
      </c>
      <c r="O2462" t="s">
        <v>392</v>
      </c>
      <c r="P2462" t="s">
        <v>393</v>
      </c>
      <c r="Q2462" s="4" t="s">
        <v>245</v>
      </c>
    </row>
    <row r="2463" spans="1:17" x14ac:dyDescent="0.25">
      <c r="A2463" t="s">
        <v>393</v>
      </c>
      <c r="B2463" t="s">
        <v>234</v>
      </c>
      <c r="C2463" s="4">
        <v>8.7964278283608126E-4</v>
      </c>
      <c r="D2463" s="4">
        <v>8.7964278283608126E-4</v>
      </c>
      <c r="E2463" s="4">
        <v>8.7964278283608126E-4</v>
      </c>
      <c r="F2463" s="4">
        <v>8.7964278283608126E-4</v>
      </c>
      <c r="G2463" s="4">
        <v>8.7964278283608126E-4</v>
      </c>
      <c r="H2463" s="4">
        <v>8.7964278283608126E-4</v>
      </c>
      <c r="I2463" s="4">
        <v>8.7964278283608126E-4</v>
      </c>
      <c r="J2463" s="4">
        <v>8.7964278283608126E-4</v>
      </c>
      <c r="K2463" s="4">
        <v>8.7964278283608126E-4</v>
      </c>
      <c r="L2463" s="4">
        <v>8.7964278283608126E-4</v>
      </c>
      <c r="M2463" s="4">
        <v>8.7964278283608126E-4</v>
      </c>
      <c r="N2463" t="s">
        <v>256</v>
      </c>
      <c r="O2463" t="s">
        <v>392</v>
      </c>
      <c r="P2463" t="s">
        <v>393</v>
      </c>
      <c r="Q2463" s="4" t="s">
        <v>245</v>
      </c>
    </row>
    <row r="2464" spans="1:17" x14ac:dyDescent="0.25">
      <c r="A2464" t="s">
        <v>393</v>
      </c>
      <c r="B2464" t="s">
        <v>222</v>
      </c>
      <c r="C2464" s="4">
        <v>1.105126486737444E-2</v>
      </c>
      <c r="D2464" s="4">
        <v>1.105126486737444E-2</v>
      </c>
      <c r="E2464" s="4">
        <v>1.105126486737444E-2</v>
      </c>
      <c r="F2464" s="4">
        <v>1.105126486737444E-2</v>
      </c>
      <c r="G2464" s="4">
        <v>1.105126486737444E-2</v>
      </c>
      <c r="H2464" s="4">
        <v>1.105126486737444E-2</v>
      </c>
      <c r="I2464" s="4">
        <v>1.105126486737444E-2</v>
      </c>
      <c r="J2464" s="4">
        <v>1.105126486737444E-2</v>
      </c>
      <c r="K2464" s="4">
        <v>1.105126486737444E-2</v>
      </c>
      <c r="L2464" s="4">
        <v>1.105126486737444E-2</v>
      </c>
      <c r="M2464" s="4">
        <v>1.105126486737444E-2</v>
      </c>
      <c r="N2464" t="s">
        <v>256</v>
      </c>
      <c r="O2464" t="s">
        <v>392</v>
      </c>
      <c r="P2464" t="s">
        <v>393</v>
      </c>
      <c r="Q2464" s="4" t="s">
        <v>245</v>
      </c>
    </row>
    <row r="2465" spans="1:17" x14ac:dyDescent="0.25">
      <c r="A2465" t="s">
        <v>393</v>
      </c>
      <c r="B2465" t="s">
        <v>223</v>
      </c>
      <c r="C2465" s="4">
        <v>3.8819336005443739E-2</v>
      </c>
      <c r="D2465" s="4">
        <v>3.8819336005443739E-2</v>
      </c>
      <c r="E2465" s="4">
        <v>3.8819336005443739E-2</v>
      </c>
      <c r="F2465" s="4">
        <v>3.8819336005443739E-2</v>
      </c>
      <c r="G2465" s="4">
        <v>3.8819336005443739E-2</v>
      </c>
      <c r="H2465" s="4">
        <v>3.8819336005443739E-2</v>
      </c>
      <c r="I2465" s="4">
        <v>3.8819336005443739E-2</v>
      </c>
      <c r="J2465" s="4">
        <v>3.8819336005443739E-2</v>
      </c>
      <c r="K2465" s="4">
        <v>3.8819336005443739E-2</v>
      </c>
      <c r="L2465" s="4">
        <v>3.8819336005443739E-2</v>
      </c>
      <c r="M2465" s="4">
        <v>3.8819336005443739E-2</v>
      </c>
      <c r="N2465" t="s">
        <v>256</v>
      </c>
      <c r="O2465" t="s">
        <v>392</v>
      </c>
      <c r="P2465" t="s">
        <v>393</v>
      </c>
      <c r="Q2465" s="4" t="s">
        <v>245</v>
      </c>
    </row>
    <row r="2466" spans="1:17" x14ac:dyDescent="0.25">
      <c r="A2466" t="s">
        <v>393</v>
      </c>
      <c r="B2466" t="s">
        <v>102</v>
      </c>
      <c r="C2466" s="4">
        <v>5.8877222955696059E-3</v>
      </c>
      <c r="D2466" s="4">
        <v>5.8877222955696059E-3</v>
      </c>
      <c r="E2466" s="4">
        <v>5.8877222955696059E-3</v>
      </c>
      <c r="F2466" s="4">
        <v>5.8877222955696059E-3</v>
      </c>
      <c r="G2466" s="4">
        <v>5.8877222955696059E-3</v>
      </c>
      <c r="H2466" s="4">
        <v>5.8877222955696059E-3</v>
      </c>
      <c r="I2466" s="4">
        <v>5.8877222955696059E-3</v>
      </c>
      <c r="J2466" s="4">
        <v>5.8877222955696059E-3</v>
      </c>
      <c r="K2466" s="4">
        <v>5.8877222955696059E-3</v>
      </c>
      <c r="L2466" s="4">
        <v>5.8877222955696059E-3</v>
      </c>
      <c r="M2466" s="4">
        <v>5.8877222955696059E-3</v>
      </c>
      <c r="N2466" t="s">
        <v>256</v>
      </c>
      <c r="O2466" t="s">
        <v>392</v>
      </c>
      <c r="P2466" t="s">
        <v>393</v>
      </c>
      <c r="Q2466" s="4" t="s">
        <v>245</v>
      </c>
    </row>
    <row r="2467" spans="1:17" x14ac:dyDescent="0.25">
      <c r="A2467" t="s">
        <v>393</v>
      </c>
      <c r="B2467" t="s">
        <v>171</v>
      </c>
      <c r="C2467" s="4">
        <v>3.7695208189874208E-4</v>
      </c>
      <c r="D2467" s="4">
        <v>3.7695208189874208E-4</v>
      </c>
      <c r="E2467" s="4">
        <v>3.7695208189874208E-4</v>
      </c>
      <c r="F2467" s="4">
        <v>3.7695208189874208E-4</v>
      </c>
      <c r="G2467" s="4">
        <v>3.7695208189874208E-4</v>
      </c>
      <c r="H2467" s="4">
        <v>3.7695208189874208E-4</v>
      </c>
      <c r="I2467" s="4">
        <v>3.7695208189874208E-4</v>
      </c>
      <c r="J2467" s="4">
        <v>3.7695208189874208E-4</v>
      </c>
      <c r="K2467" s="4">
        <v>3.7695208189874208E-4</v>
      </c>
      <c r="L2467" s="4">
        <v>3.7695208189874208E-4</v>
      </c>
      <c r="M2467" s="4">
        <v>3.7695208189874208E-4</v>
      </c>
      <c r="N2467" t="s">
        <v>256</v>
      </c>
      <c r="O2467" t="s">
        <v>392</v>
      </c>
      <c r="P2467" t="s">
        <v>393</v>
      </c>
      <c r="Q2467" s="4" t="s">
        <v>245</v>
      </c>
    </row>
    <row r="2468" spans="1:17" x14ac:dyDescent="0.25">
      <c r="A2468" t="s">
        <v>393</v>
      </c>
      <c r="B2468" t="s">
        <v>213</v>
      </c>
      <c r="C2468" s="4">
        <v>3.7594454705329222E-6</v>
      </c>
      <c r="D2468" s="4">
        <v>3.7594454705329222E-6</v>
      </c>
      <c r="E2468" s="4">
        <v>3.7594454705329222E-6</v>
      </c>
      <c r="F2468" s="4">
        <v>3.7594454705329222E-6</v>
      </c>
      <c r="G2468" s="4">
        <v>3.7594454705329222E-6</v>
      </c>
      <c r="H2468" s="4">
        <v>3.7594454705329222E-6</v>
      </c>
      <c r="I2468" s="4">
        <v>3.7594454705329222E-6</v>
      </c>
      <c r="J2468" s="4">
        <v>3.7594454705329222E-6</v>
      </c>
      <c r="K2468" s="4">
        <v>3.7594454705329222E-6</v>
      </c>
      <c r="L2468" s="4">
        <v>3.7594454705329222E-6</v>
      </c>
      <c r="M2468" s="4">
        <v>3.7594454705329222E-6</v>
      </c>
      <c r="N2468" t="s">
        <v>256</v>
      </c>
      <c r="O2468" t="s">
        <v>392</v>
      </c>
      <c r="P2468" t="s">
        <v>393</v>
      </c>
      <c r="Q2468" s="4" t="s">
        <v>245</v>
      </c>
    </row>
    <row r="2469" spans="1:17" x14ac:dyDescent="0.25">
      <c r="A2469" t="s">
        <v>393</v>
      </c>
      <c r="B2469" t="s">
        <v>200</v>
      </c>
      <c r="C2469" s="4">
        <v>2.755369972191831E-4</v>
      </c>
      <c r="D2469" s="4">
        <v>2.755369972191831E-4</v>
      </c>
      <c r="E2469" s="4">
        <v>2.755369972191831E-4</v>
      </c>
      <c r="F2469" s="4">
        <v>2.755369972191831E-4</v>
      </c>
      <c r="G2469" s="4">
        <v>2.755369972191831E-4</v>
      </c>
      <c r="H2469" s="4">
        <v>2.755369972191831E-4</v>
      </c>
      <c r="I2469" s="4">
        <v>2.755369972191831E-4</v>
      </c>
      <c r="J2469" s="4">
        <v>2.755369972191831E-4</v>
      </c>
      <c r="K2469" s="4">
        <v>2.755369972191831E-4</v>
      </c>
      <c r="L2469" s="4">
        <v>2.755369972191831E-4</v>
      </c>
      <c r="M2469" s="4">
        <v>2.755369972191831E-4</v>
      </c>
      <c r="N2469" t="s">
        <v>256</v>
      </c>
      <c r="O2469" t="s">
        <v>392</v>
      </c>
      <c r="P2469" t="s">
        <v>393</v>
      </c>
      <c r="Q2469" s="4" t="s">
        <v>245</v>
      </c>
    </row>
    <row r="2470" spans="1:17" x14ac:dyDescent="0.25">
      <c r="A2470" t="s">
        <v>393</v>
      </c>
      <c r="B2470" t="s">
        <v>150</v>
      </c>
      <c r="C2470" s="4">
        <v>4.0137645622600289E-3</v>
      </c>
      <c r="D2470" s="4">
        <v>4.0137645622600289E-3</v>
      </c>
      <c r="E2470" s="4">
        <v>4.0137645622600289E-3</v>
      </c>
      <c r="F2470" s="4">
        <v>4.0137645622600289E-3</v>
      </c>
      <c r="G2470" s="4">
        <v>4.0137645622600289E-3</v>
      </c>
      <c r="H2470" s="4">
        <v>4.0137645622600289E-3</v>
      </c>
      <c r="I2470" s="4">
        <v>4.0137645622600289E-3</v>
      </c>
      <c r="J2470" s="4">
        <v>4.0137645622600289E-3</v>
      </c>
      <c r="K2470" s="4">
        <v>4.0137645622600289E-3</v>
      </c>
      <c r="L2470" s="4">
        <v>4.0137645622600289E-3</v>
      </c>
      <c r="M2470" s="4">
        <v>4.0137645622600289E-3</v>
      </c>
      <c r="N2470" t="s">
        <v>256</v>
      </c>
      <c r="O2470" t="s">
        <v>392</v>
      </c>
      <c r="P2470" t="s">
        <v>393</v>
      </c>
      <c r="Q2470" s="4" t="s">
        <v>245</v>
      </c>
    </row>
    <row r="2471" spans="1:17" x14ac:dyDescent="0.25">
      <c r="A2471" t="s">
        <v>393</v>
      </c>
      <c r="B2471" t="s">
        <v>161</v>
      </c>
      <c r="C2471" s="4">
        <v>0.15958141180438831</v>
      </c>
      <c r="D2471" s="4">
        <v>0.15958141180438831</v>
      </c>
      <c r="E2471" s="4">
        <v>0.15958141180438831</v>
      </c>
      <c r="F2471" s="4">
        <v>0.15958141180438831</v>
      </c>
      <c r="G2471" s="4">
        <v>0.15958141180438831</v>
      </c>
      <c r="H2471" s="4">
        <v>0.15958141180438831</v>
      </c>
      <c r="I2471" s="4">
        <v>0.15958141180438831</v>
      </c>
      <c r="J2471" s="4">
        <v>0.15958141180438831</v>
      </c>
      <c r="K2471" s="4">
        <v>0.15958141180438831</v>
      </c>
      <c r="L2471" s="4">
        <v>0.15958141180438831</v>
      </c>
      <c r="M2471" s="4">
        <v>0.15958141180438831</v>
      </c>
      <c r="N2471" t="s">
        <v>394</v>
      </c>
      <c r="O2471" t="s">
        <v>392</v>
      </c>
      <c r="P2471" t="s">
        <v>393</v>
      </c>
      <c r="Q2471" s="4" t="s">
        <v>245</v>
      </c>
    </row>
    <row r="2472" spans="1:17" x14ac:dyDescent="0.25">
      <c r="A2472" t="s">
        <v>393</v>
      </c>
      <c r="B2472" t="s">
        <v>235</v>
      </c>
      <c r="C2472" s="4">
        <v>5.7292236594102847E-4</v>
      </c>
      <c r="D2472" s="4">
        <v>5.7292236594102847E-4</v>
      </c>
      <c r="E2472" s="4">
        <v>5.7292236594102847E-4</v>
      </c>
      <c r="F2472" s="4">
        <v>5.7292236594102847E-4</v>
      </c>
      <c r="G2472" s="4">
        <v>5.7292236594102847E-4</v>
      </c>
      <c r="H2472" s="4">
        <v>5.7292236594102847E-4</v>
      </c>
      <c r="I2472" s="4">
        <v>5.7292236594102847E-4</v>
      </c>
      <c r="J2472" s="4">
        <v>5.7292236594102847E-4</v>
      </c>
      <c r="K2472" s="4">
        <v>5.7292236594102847E-4</v>
      </c>
      <c r="L2472" s="4">
        <v>5.7292236594102847E-4</v>
      </c>
      <c r="M2472" s="4">
        <v>5.7292236594102847E-4</v>
      </c>
      <c r="N2472" t="s">
        <v>256</v>
      </c>
      <c r="O2472" t="s">
        <v>392</v>
      </c>
      <c r="P2472" t="s">
        <v>393</v>
      </c>
      <c r="Q2472" s="4" t="s">
        <v>245</v>
      </c>
    </row>
    <row r="2473" spans="1:17" x14ac:dyDescent="0.25">
      <c r="A2473" t="s">
        <v>393</v>
      </c>
      <c r="B2473" t="s">
        <v>106</v>
      </c>
      <c r="C2473" s="4">
        <v>3.7565569156970392E-4</v>
      </c>
      <c r="D2473" s="4">
        <v>3.7565569156970392E-4</v>
      </c>
      <c r="E2473" s="4">
        <v>3.7565569156970392E-4</v>
      </c>
      <c r="F2473" s="4">
        <v>3.7565569156970392E-4</v>
      </c>
      <c r="G2473" s="4">
        <v>3.7565569156970392E-4</v>
      </c>
      <c r="H2473" s="4">
        <v>3.7565569156970392E-4</v>
      </c>
      <c r="I2473" s="4">
        <v>3.7565569156970392E-4</v>
      </c>
      <c r="J2473" s="4">
        <v>3.7565569156970392E-4</v>
      </c>
      <c r="K2473" s="4">
        <v>3.7565569156970392E-4</v>
      </c>
      <c r="L2473" s="4">
        <v>3.7565569156970392E-4</v>
      </c>
      <c r="M2473" s="4">
        <v>3.7565569156970392E-4</v>
      </c>
      <c r="N2473" t="s">
        <v>256</v>
      </c>
      <c r="O2473" t="s">
        <v>392</v>
      </c>
      <c r="P2473" t="s">
        <v>393</v>
      </c>
      <c r="Q2473" s="4" t="s">
        <v>245</v>
      </c>
    </row>
    <row r="2474" spans="1:17" x14ac:dyDescent="0.25">
      <c r="A2474" t="s">
        <v>393</v>
      </c>
      <c r="B2474" t="s">
        <v>146</v>
      </c>
      <c r="C2474" s="4">
        <v>4.2567675242083727E-2</v>
      </c>
      <c r="D2474" s="4">
        <v>4.2567675242083727E-2</v>
      </c>
      <c r="E2474" s="4">
        <v>4.2567675242083727E-2</v>
      </c>
      <c r="F2474" s="4">
        <v>4.2567675242083727E-2</v>
      </c>
      <c r="G2474" s="4">
        <v>4.2567675242083727E-2</v>
      </c>
      <c r="H2474" s="4">
        <v>4.2567675242083727E-2</v>
      </c>
      <c r="I2474" s="4">
        <v>4.2567675242083727E-2</v>
      </c>
      <c r="J2474" s="4">
        <v>4.2567675242083727E-2</v>
      </c>
      <c r="K2474" s="4">
        <v>4.2567675242083727E-2</v>
      </c>
      <c r="L2474" s="4">
        <v>4.2567675242083727E-2</v>
      </c>
      <c r="M2474" s="4">
        <v>4.2567675242083727E-2</v>
      </c>
      <c r="N2474" t="s">
        <v>256</v>
      </c>
      <c r="O2474" t="s">
        <v>392</v>
      </c>
      <c r="P2474" t="s">
        <v>393</v>
      </c>
      <c r="Q2474" s="4" t="s">
        <v>245</v>
      </c>
    </row>
    <row r="2475" spans="1:17" x14ac:dyDescent="0.25">
      <c r="A2475" t="s">
        <v>393</v>
      </c>
      <c r="B2475" t="s">
        <v>156</v>
      </c>
      <c r="C2475" s="4">
        <v>5.7944064073086207E-6</v>
      </c>
      <c r="D2475" s="4">
        <v>5.7944064073086207E-6</v>
      </c>
      <c r="E2475" s="4">
        <v>5.7944064073086207E-6</v>
      </c>
      <c r="F2475" s="4">
        <v>5.7944064073086207E-6</v>
      </c>
      <c r="G2475" s="4">
        <v>5.7944064073086207E-6</v>
      </c>
      <c r="H2475" s="4">
        <v>5.7944064073086207E-6</v>
      </c>
      <c r="I2475" s="4">
        <v>5.7944064073086207E-6</v>
      </c>
      <c r="J2475" s="4">
        <v>5.7944064073086207E-6</v>
      </c>
      <c r="K2475" s="4">
        <v>5.7944064073086207E-6</v>
      </c>
      <c r="L2475" s="4">
        <v>5.7944064073086207E-6</v>
      </c>
      <c r="M2475" s="4">
        <v>5.7944064073086207E-6</v>
      </c>
      <c r="N2475" t="s">
        <v>256</v>
      </c>
      <c r="O2475" t="s">
        <v>392</v>
      </c>
      <c r="P2475" t="s">
        <v>393</v>
      </c>
      <c r="Q2475" s="4" t="s">
        <v>245</v>
      </c>
    </row>
    <row r="2476" spans="1:17" x14ac:dyDescent="0.25">
      <c r="A2476" t="s">
        <v>393</v>
      </c>
      <c r="B2476" t="s">
        <v>156</v>
      </c>
      <c r="C2476" s="4">
        <v>3.8009576358390131E-6</v>
      </c>
      <c r="D2476" s="4">
        <v>3.8009576358390131E-6</v>
      </c>
      <c r="E2476" s="4">
        <v>3.8009576358390131E-6</v>
      </c>
      <c r="F2476" s="4">
        <v>3.8009576358390131E-6</v>
      </c>
      <c r="G2476" s="4">
        <v>3.8009576358390131E-6</v>
      </c>
      <c r="H2476" s="4">
        <v>3.8009576358390131E-6</v>
      </c>
      <c r="I2476" s="4">
        <v>3.8009576358390131E-6</v>
      </c>
      <c r="J2476" s="4">
        <v>3.8009576358390131E-6</v>
      </c>
      <c r="K2476" s="4">
        <v>3.8009576358390131E-6</v>
      </c>
      <c r="L2476" s="4">
        <v>3.8009576358390131E-6</v>
      </c>
      <c r="M2476" s="4">
        <v>3.8009576358390131E-6</v>
      </c>
      <c r="N2476" t="s">
        <v>256</v>
      </c>
      <c r="O2476" t="s">
        <v>392</v>
      </c>
      <c r="P2476" t="s">
        <v>393</v>
      </c>
      <c r="Q2476" s="4" t="s">
        <v>245</v>
      </c>
    </row>
    <row r="2477" spans="1:17" x14ac:dyDescent="0.25">
      <c r="A2477" t="s">
        <v>393</v>
      </c>
      <c r="B2477" t="s">
        <v>107</v>
      </c>
      <c r="C2477" s="4">
        <v>5.8981868205738502E-2</v>
      </c>
      <c r="D2477" s="4">
        <v>5.8981868205738502E-2</v>
      </c>
      <c r="E2477" s="4">
        <v>5.8981868205738502E-2</v>
      </c>
      <c r="F2477" s="4">
        <v>5.8981868205738502E-2</v>
      </c>
      <c r="G2477" s="4">
        <v>5.8981868205738502E-2</v>
      </c>
      <c r="H2477" s="4">
        <v>5.8981868205738502E-2</v>
      </c>
      <c r="I2477" s="4">
        <v>5.8981868205738502E-2</v>
      </c>
      <c r="J2477" s="4">
        <v>5.8981868205738502E-2</v>
      </c>
      <c r="K2477" s="4">
        <v>5.8981868205738502E-2</v>
      </c>
      <c r="L2477" s="4">
        <v>5.8981868205738502E-2</v>
      </c>
      <c r="M2477" s="4">
        <v>5.8981868205738502E-2</v>
      </c>
      <c r="N2477" t="s">
        <v>333</v>
      </c>
      <c r="O2477" t="s">
        <v>392</v>
      </c>
      <c r="P2477" t="s">
        <v>393</v>
      </c>
      <c r="Q2477" s="4" t="s">
        <v>245</v>
      </c>
    </row>
    <row r="2478" spans="1:17" x14ac:dyDescent="0.25">
      <c r="A2478" t="s">
        <v>393</v>
      </c>
      <c r="B2478" t="s">
        <v>108</v>
      </c>
      <c r="C2478" s="4">
        <v>2.8850954887733669E-2</v>
      </c>
      <c r="D2478" s="4">
        <v>2.8850954887733669E-2</v>
      </c>
      <c r="E2478" s="4">
        <v>2.8850954887733669E-2</v>
      </c>
      <c r="F2478" s="4">
        <v>2.8850954887733669E-2</v>
      </c>
      <c r="G2478" s="4">
        <v>2.8850954887733669E-2</v>
      </c>
      <c r="H2478" s="4">
        <v>2.8850954887733669E-2</v>
      </c>
      <c r="I2478" s="4">
        <v>2.8850954887733669E-2</v>
      </c>
      <c r="J2478" s="4">
        <v>2.8850954887733669E-2</v>
      </c>
      <c r="K2478" s="4">
        <v>2.8850954887733669E-2</v>
      </c>
      <c r="L2478" s="4">
        <v>2.8850954887733669E-2</v>
      </c>
      <c r="M2478" s="4">
        <v>2.8850954887733669E-2</v>
      </c>
      <c r="N2478" t="s">
        <v>256</v>
      </c>
      <c r="O2478" t="s">
        <v>392</v>
      </c>
      <c r="P2478" t="s">
        <v>393</v>
      </c>
      <c r="Q2478" s="4" t="s">
        <v>245</v>
      </c>
    </row>
    <row r="2479" spans="1:17" x14ac:dyDescent="0.25">
      <c r="A2479" t="s">
        <v>393</v>
      </c>
      <c r="B2479" t="s">
        <v>205</v>
      </c>
      <c r="C2479" s="4">
        <v>4.6602594576751104E-3</v>
      </c>
      <c r="D2479" s="4">
        <v>4.6602594576751104E-3</v>
      </c>
      <c r="E2479" s="4">
        <v>4.6602594576751104E-3</v>
      </c>
      <c r="F2479" s="4">
        <v>4.6602594576751104E-3</v>
      </c>
      <c r="G2479" s="4">
        <v>4.6602594576751104E-3</v>
      </c>
      <c r="H2479" s="4">
        <v>4.6602594576751104E-3</v>
      </c>
      <c r="I2479" s="4">
        <v>4.6602594576751104E-3</v>
      </c>
      <c r="J2479" s="4">
        <v>4.6602594576751104E-3</v>
      </c>
      <c r="K2479" s="4">
        <v>4.6602594576751104E-3</v>
      </c>
      <c r="L2479" s="4">
        <v>4.6602594576751104E-3</v>
      </c>
      <c r="M2479" s="4">
        <v>4.6602594576751104E-3</v>
      </c>
      <c r="N2479" t="s">
        <v>256</v>
      </c>
      <c r="O2479" t="s">
        <v>392</v>
      </c>
      <c r="P2479" t="s">
        <v>393</v>
      </c>
      <c r="Q2479" s="4" t="s">
        <v>245</v>
      </c>
    </row>
    <row r="2480" spans="1:17" x14ac:dyDescent="0.25">
      <c r="A2480" t="s">
        <v>393</v>
      </c>
      <c r="B2480" t="s">
        <v>205</v>
      </c>
      <c r="C2480" s="4">
        <v>8.7313471312021867E-3</v>
      </c>
      <c r="D2480" s="4">
        <v>8.7313471312021867E-3</v>
      </c>
      <c r="E2480" s="4">
        <v>8.7313471312021867E-3</v>
      </c>
      <c r="F2480" s="4">
        <v>8.7313471312021867E-3</v>
      </c>
      <c r="G2480" s="4">
        <v>8.7313471312021867E-3</v>
      </c>
      <c r="H2480" s="4">
        <v>8.7313471312021867E-3</v>
      </c>
      <c r="I2480" s="4">
        <v>8.7313471312021867E-3</v>
      </c>
      <c r="J2480" s="4">
        <v>8.7313471312021867E-3</v>
      </c>
      <c r="K2480" s="4">
        <v>8.7313471312021867E-3</v>
      </c>
      <c r="L2480" s="4">
        <v>8.7313471312021867E-3</v>
      </c>
      <c r="M2480" s="4">
        <v>8.7313471312021867E-3</v>
      </c>
      <c r="N2480" t="s">
        <v>256</v>
      </c>
      <c r="O2480" t="s">
        <v>392</v>
      </c>
      <c r="P2480" t="s">
        <v>393</v>
      </c>
      <c r="Q2480" s="4" t="s">
        <v>245</v>
      </c>
    </row>
    <row r="2481" spans="1:17" x14ac:dyDescent="0.25">
      <c r="A2481" t="s">
        <v>393</v>
      </c>
      <c r="B2481" t="s">
        <v>137</v>
      </c>
      <c r="C2481" s="4">
        <v>7.5040278562127083E-3</v>
      </c>
      <c r="D2481" s="4">
        <v>7.5040278562127083E-3</v>
      </c>
      <c r="E2481" s="4">
        <v>7.5040278562127083E-3</v>
      </c>
      <c r="F2481" s="4">
        <v>7.5040278562127083E-3</v>
      </c>
      <c r="G2481" s="4">
        <v>7.5040278562127083E-3</v>
      </c>
      <c r="H2481" s="4">
        <v>7.5040278562127083E-3</v>
      </c>
      <c r="I2481" s="4">
        <v>7.5040278562127083E-3</v>
      </c>
      <c r="J2481" s="4">
        <v>7.5040278562127083E-3</v>
      </c>
      <c r="K2481" s="4">
        <v>7.5040278562127083E-3</v>
      </c>
      <c r="L2481" s="4">
        <v>7.5040278562127083E-3</v>
      </c>
      <c r="M2481" s="4">
        <v>7.5040278562127083E-3</v>
      </c>
      <c r="N2481" t="s">
        <v>256</v>
      </c>
      <c r="O2481" t="s">
        <v>392</v>
      </c>
      <c r="P2481" t="s">
        <v>393</v>
      </c>
      <c r="Q2481" s="4" t="s">
        <v>245</v>
      </c>
    </row>
    <row r="2482" spans="1:17" x14ac:dyDescent="0.25">
      <c r="A2482" t="s">
        <v>393</v>
      </c>
      <c r="B2482" t="s">
        <v>211</v>
      </c>
      <c r="C2482" s="4">
        <v>2.220234919557449E-4</v>
      </c>
      <c r="D2482" s="4">
        <v>2.220234919557449E-4</v>
      </c>
      <c r="E2482" s="4">
        <v>2.220234919557449E-4</v>
      </c>
      <c r="F2482" s="4">
        <v>2.220234919557449E-4</v>
      </c>
      <c r="G2482" s="4">
        <v>2.220234919557449E-4</v>
      </c>
      <c r="H2482" s="4">
        <v>2.220234919557449E-4</v>
      </c>
      <c r="I2482" s="4">
        <v>2.220234919557449E-4</v>
      </c>
      <c r="J2482" s="4">
        <v>2.220234919557449E-4</v>
      </c>
      <c r="K2482" s="4">
        <v>2.220234919557449E-4</v>
      </c>
      <c r="L2482" s="4">
        <v>2.220234919557449E-4</v>
      </c>
      <c r="M2482" s="4">
        <v>2.220234919557449E-4</v>
      </c>
      <c r="N2482" t="s">
        <v>256</v>
      </c>
      <c r="O2482" t="s">
        <v>392</v>
      </c>
      <c r="P2482" t="s">
        <v>393</v>
      </c>
      <c r="Q2482" s="4" t="s">
        <v>245</v>
      </c>
    </row>
    <row r="2483" spans="1:17" x14ac:dyDescent="0.25">
      <c r="A2483" t="s">
        <v>393</v>
      </c>
      <c r="B2483" t="s">
        <v>229</v>
      </c>
      <c r="C2483" s="4">
        <v>5.9673737627506695E-4</v>
      </c>
      <c r="D2483" s="4">
        <v>5.9673737627506695E-4</v>
      </c>
      <c r="E2483" s="4">
        <v>5.9673737627506695E-4</v>
      </c>
      <c r="F2483" s="4">
        <v>5.9673737627506695E-4</v>
      </c>
      <c r="G2483" s="4">
        <v>5.9673737627506695E-4</v>
      </c>
      <c r="H2483" s="4">
        <v>5.9673737627506695E-4</v>
      </c>
      <c r="I2483" s="4">
        <v>5.9673737627506695E-4</v>
      </c>
      <c r="J2483" s="4">
        <v>5.9673737627506695E-4</v>
      </c>
      <c r="K2483" s="4">
        <v>5.9673737627506695E-4</v>
      </c>
      <c r="L2483" s="4">
        <v>5.9673737627506695E-4</v>
      </c>
      <c r="M2483" s="4">
        <v>5.9673737627506695E-4</v>
      </c>
      <c r="N2483" t="s">
        <v>256</v>
      </c>
      <c r="O2483" t="s">
        <v>392</v>
      </c>
      <c r="P2483" t="s">
        <v>393</v>
      </c>
      <c r="Q2483" s="4" t="s">
        <v>245</v>
      </c>
    </row>
    <row r="2484" spans="1:17" x14ac:dyDescent="0.25">
      <c r="A2484" t="s">
        <v>393</v>
      </c>
      <c r="B2484" t="s">
        <v>111</v>
      </c>
      <c r="C2484" s="4">
        <v>4.6891450060339313E-5</v>
      </c>
      <c r="D2484" s="4">
        <v>4.6891450060339313E-5</v>
      </c>
      <c r="E2484" s="4">
        <v>4.6891450060339313E-5</v>
      </c>
      <c r="F2484" s="4">
        <v>4.6891450060339313E-5</v>
      </c>
      <c r="G2484" s="4">
        <v>4.6891450060339313E-5</v>
      </c>
      <c r="H2484" s="4">
        <v>4.6891450060339313E-5</v>
      </c>
      <c r="I2484" s="4">
        <v>4.6891450060339313E-5</v>
      </c>
      <c r="J2484" s="4">
        <v>4.6891450060339313E-5</v>
      </c>
      <c r="K2484" s="4">
        <v>4.6891450060339313E-5</v>
      </c>
      <c r="L2484" s="4">
        <v>4.6891450060339313E-5</v>
      </c>
      <c r="M2484" s="4">
        <v>4.6891450060339313E-5</v>
      </c>
      <c r="N2484" t="s">
        <v>256</v>
      </c>
      <c r="O2484" t="s">
        <v>392</v>
      </c>
      <c r="P2484" t="s">
        <v>393</v>
      </c>
      <c r="Q2484" s="4" t="s">
        <v>245</v>
      </c>
    </row>
    <row r="2485" spans="1:17" x14ac:dyDescent="0.25">
      <c r="A2485" t="s">
        <v>393</v>
      </c>
      <c r="B2485" t="s">
        <v>215</v>
      </c>
      <c r="C2485" s="4">
        <v>6.9186942176819352E-6</v>
      </c>
      <c r="D2485" s="4">
        <v>6.9186942176819352E-6</v>
      </c>
      <c r="E2485" s="4">
        <v>6.9186942176819352E-6</v>
      </c>
      <c r="F2485" s="4">
        <v>6.9186942176819352E-6</v>
      </c>
      <c r="G2485" s="4">
        <v>6.9186942176819352E-6</v>
      </c>
      <c r="H2485" s="4">
        <v>6.9186942176819352E-6</v>
      </c>
      <c r="I2485" s="4">
        <v>6.9186942176819352E-6</v>
      </c>
      <c r="J2485" s="4">
        <v>6.9186942176819352E-6</v>
      </c>
      <c r="K2485" s="4">
        <v>6.9186942176819352E-6</v>
      </c>
      <c r="L2485" s="4">
        <v>6.9186942176819352E-6</v>
      </c>
      <c r="M2485" s="4">
        <v>6.9186942176819352E-6</v>
      </c>
      <c r="N2485" t="s">
        <v>256</v>
      </c>
      <c r="O2485" t="s">
        <v>392</v>
      </c>
      <c r="P2485" t="s">
        <v>393</v>
      </c>
      <c r="Q2485" s="4" t="s">
        <v>245</v>
      </c>
    </row>
    <row r="2486" spans="1:17" x14ac:dyDescent="0.25">
      <c r="A2486" t="s">
        <v>393</v>
      </c>
      <c r="B2486" t="s">
        <v>209</v>
      </c>
      <c r="C2486" s="4">
        <v>4.4253118449207344E-3</v>
      </c>
      <c r="D2486" s="4">
        <v>4.4253118449207344E-3</v>
      </c>
      <c r="E2486" s="4">
        <v>4.4253118449207344E-3</v>
      </c>
      <c r="F2486" s="4">
        <v>4.4253118449207344E-3</v>
      </c>
      <c r="G2486" s="4">
        <v>4.4253118449207344E-3</v>
      </c>
      <c r="H2486" s="4">
        <v>4.4253118449207344E-3</v>
      </c>
      <c r="I2486" s="4">
        <v>4.4253118449207344E-3</v>
      </c>
      <c r="J2486" s="4">
        <v>4.4253118449207344E-3</v>
      </c>
      <c r="K2486" s="4">
        <v>4.4253118449207344E-3</v>
      </c>
      <c r="L2486" s="4">
        <v>4.4253118449207344E-3</v>
      </c>
      <c r="M2486" s="4">
        <v>4.4253118449207344E-3</v>
      </c>
      <c r="N2486" t="s">
        <v>256</v>
      </c>
      <c r="O2486" t="s">
        <v>392</v>
      </c>
      <c r="P2486" t="s">
        <v>393</v>
      </c>
      <c r="Q2486" s="4" t="s">
        <v>245</v>
      </c>
    </row>
    <row r="2487" spans="1:17" x14ac:dyDescent="0.25">
      <c r="A2487" t="s">
        <v>393</v>
      </c>
      <c r="B2487" t="s">
        <v>216</v>
      </c>
      <c r="C2487" s="4">
        <v>1.578621162912943E-2</v>
      </c>
      <c r="D2487" s="4">
        <v>1.578621162912943E-2</v>
      </c>
      <c r="E2487" s="4">
        <v>1.578621162912943E-2</v>
      </c>
      <c r="F2487" s="4">
        <v>1.578621162912943E-2</v>
      </c>
      <c r="G2487" s="4">
        <v>1.578621162912943E-2</v>
      </c>
      <c r="H2487" s="4">
        <v>1.578621162912943E-2</v>
      </c>
      <c r="I2487" s="4">
        <v>1.578621162912943E-2</v>
      </c>
      <c r="J2487" s="4">
        <v>1.578621162912943E-2</v>
      </c>
      <c r="K2487" s="4">
        <v>1.578621162912943E-2</v>
      </c>
      <c r="L2487" s="4">
        <v>1.578621162912943E-2</v>
      </c>
      <c r="M2487" s="4">
        <v>1.578621162912943E-2</v>
      </c>
      <c r="N2487" t="s">
        <v>256</v>
      </c>
      <c r="O2487" t="s">
        <v>392</v>
      </c>
      <c r="P2487" t="s">
        <v>393</v>
      </c>
      <c r="Q2487" s="4" t="s">
        <v>245</v>
      </c>
    </row>
    <row r="2488" spans="1:17" x14ac:dyDescent="0.25">
      <c r="A2488" t="s">
        <v>393</v>
      </c>
      <c r="B2488" t="s">
        <v>112</v>
      </c>
      <c r="C2488" s="4">
        <v>1.8552080719796589E-3</v>
      </c>
      <c r="D2488" s="4">
        <v>1.8552080719796589E-3</v>
      </c>
      <c r="E2488" s="4">
        <v>1.8552080719796589E-3</v>
      </c>
      <c r="F2488" s="4">
        <v>1.8552080719796589E-3</v>
      </c>
      <c r="G2488" s="4">
        <v>1.8552080719796589E-3</v>
      </c>
      <c r="H2488" s="4">
        <v>1.8552080719796589E-3</v>
      </c>
      <c r="I2488" s="4">
        <v>1.8552080719796589E-3</v>
      </c>
      <c r="J2488" s="4">
        <v>1.8552080719796589E-3</v>
      </c>
      <c r="K2488" s="4">
        <v>1.8552080719796589E-3</v>
      </c>
      <c r="L2488" s="4">
        <v>1.8552080719796589E-3</v>
      </c>
      <c r="M2488" s="4">
        <v>1.8552080719796589E-3</v>
      </c>
      <c r="N2488" t="s">
        <v>256</v>
      </c>
      <c r="O2488" t="s">
        <v>392</v>
      </c>
      <c r="P2488" t="s">
        <v>393</v>
      </c>
      <c r="Q2488" s="4" t="s">
        <v>245</v>
      </c>
    </row>
    <row r="2489" spans="1:17" x14ac:dyDescent="0.25">
      <c r="A2489" t="s">
        <v>393</v>
      </c>
      <c r="B2489" t="s">
        <v>113</v>
      </c>
      <c r="C2489" s="4">
        <v>0.1059425052082546</v>
      </c>
      <c r="D2489" s="4">
        <v>0.1059425052082546</v>
      </c>
      <c r="E2489" s="4">
        <v>0.1059425052082546</v>
      </c>
      <c r="F2489" s="4">
        <v>0.1059425052082546</v>
      </c>
      <c r="G2489" s="4">
        <v>0.1059425052082546</v>
      </c>
      <c r="H2489" s="4">
        <v>0.1059425052082546</v>
      </c>
      <c r="I2489" s="4">
        <v>0.1059425052082546</v>
      </c>
      <c r="J2489" s="4">
        <v>0.1059425052082546</v>
      </c>
      <c r="K2489" s="4">
        <v>0.1059425052082546</v>
      </c>
      <c r="L2489" s="4">
        <v>0.1059425052082546</v>
      </c>
      <c r="M2489" s="4">
        <v>0.1059425052082546</v>
      </c>
      <c r="N2489" t="s">
        <v>276</v>
      </c>
      <c r="O2489" t="s">
        <v>392</v>
      </c>
      <c r="P2489" t="s">
        <v>393</v>
      </c>
      <c r="Q2489" s="4" t="s">
        <v>245</v>
      </c>
    </row>
    <row r="2490" spans="1:17" x14ac:dyDescent="0.25">
      <c r="A2490" t="s">
        <v>393</v>
      </c>
      <c r="B2490" t="s">
        <v>180</v>
      </c>
      <c r="C2490" s="4">
        <v>2.7964497191093171E-3</v>
      </c>
      <c r="D2490" s="4">
        <v>2.7964497191093171E-3</v>
      </c>
      <c r="E2490" s="4">
        <v>2.7964497191093171E-3</v>
      </c>
      <c r="F2490" s="4">
        <v>2.7964497191093171E-3</v>
      </c>
      <c r="G2490" s="4">
        <v>2.7964497191093171E-3</v>
      </c>
      <c r="H2490" s="4">
        <v>2.7964497191093171E-3</v>
      </c>
      <c r="I2490" s="4">
        <v>2.7964497191093171E-3</v>
      </c>
      <c r="J2490" s="4">
        <v>2.7964497191093171E-3</v>
      </c>
      <c r="K2490" s="4">
        <v>2.7964497191093171E-3</v>
      </c>
      <c r="L2490" s="4">
        <v>2.7964497191093171E-3</v>
      </c>
      <c r="M2490" s="4">
        <v>2.7964497191093171E-3</v>
      </c>
      <c r="N2490" t="s">
        <v>256</v>
      </c>
      <c r="O2490" t="s">
        <v>392</v>
      </c>
      <c r="P2490" t="s">
        <v>393</v>
      </c>
      <c r="Q2490" s="4" t="s">
        <v>245</v>
      </c>
    </row>
    <row r="2491" spans="1:17" x14ac:dyDescent="0.25">
      <c r="A2491" t="s">
        <v>393</v>
      </c>
      <c r="B2491" t="s">
        <v>114</v>
      </c>
      <c r="C2491" s="4">
        <v>2.5249082678008462E-4</v>
      </c>
      <c r="D2491" s="4">
        <v>2.5249082678008462E-4</v>
      </c>
      <c r="E2491" s="4">
        <v>2.5249082678008462E-4</v>
      </c>
      <c r="F2491" s="4">
        <v>2.5249082678008462E-4</v>
      </c>
      <c r="G2491" s="4">
        <v>2.5249082678008462E-4</v>
      </c>
      <c r="H2491" s="4">
        <v>2.5249082678008462E-4</v>
      </c>
      <c r="I2491" s="4">
        <v>2.5249082678008462E-4</v>
      </c>
      <c r="J2491" s="4">
        <v>2.5249082678008462E-4</v>
      </c>
      <c r="K2491" s="4">
        <v>2.5249082678008462E-4</v>
      </c>
      <c r="L2491" s="4">
        <v>2.5249082678008462E-4</v>
      </c>
      <c r="M2491" s="4">
        <v>2.5249082678008462E-4</v>
      </c>
      <c r="N2491" t="s">
        <v>256</v>
      </c>
      <c r="O2491" t="s">
        <v>392</v>
      </c>
      <c r="P2491" t="s">
        <v>393</v>
      </c>
      <c r="Q2491" s="4" t="s">
        <v>245</v>
      </c>
    </row>
    <row r="2492" spans="1:17" x14ac:dyDescent="0.25">
      <c r="A2492" t="s">
        <v>393</v>
      </c>
      <c r="B2492" t="s">
        <v>115</v>
      </c>
      <c r="C2492" s="4">
        <v>1.5071195715855979E-2</v>
      </c>
      <c r="D2492" s="4">
        <v>1.5071195715855979E-2</v>
      </c>
      <c r="E2492" s="4">
        <v>1.5071195715855979E-2</v>
      </c>
      <c r="F2492" s="4">
        <v>1.5071195715855979E-2</v>
      </c>
      <c r="G2492" s="4">
        <v>1.5071195715855979E-2</v>
      </c>
      <c r="H2492" s="4">
        <v>1.5071195715855979E-2</v>
      </c>
      <c r="I2492" s="4">
        <v>1.5071195715855979E-2</v>
      </c>
      <c r="J2492" s="4">
        <v>1.5071195715855979E-2</v>
      </c>
      <c r="K2492" s="4">
        <v>1.5071195715855979E-2</v>
      </c>
      <c r="L2492" s="4">
        <v>1.5071195715855979E-2</v>
      </c>
      <c r="M2492" s="4">
        <v>1.5071195715855979E-2</v>
      </c>
      <c r="N2492" t="s">
        <v>256</v>
      </c>
      <c r="O2492" t="s">
        <v>392</v>
      </c>
      <c r="P2492" t="s">
        <v>393</v>
      </c>
      <c r="Q2492" s="4" t="s">
        <v>245</v>
      </c>
    </row>
    <row r="2493" spans="1:17" x14ac:dyDescent="0.25">
      <c r="A2493" t="s">
        <v>393</v>
      </c>
      <c r="B2493" t="s">
        <v>158</v>
      </c>
      <c r="C2493" s="4">
        <v>7.237905472150236E-5</v>
      </c>
      <c r="D2493" s="4">
        <v>7.237905472150236E-5</v>
      </c>
      <c r="E2493" s="4">
        <v>7.237905472150236E-5</v>
      </c>
      <c r="F2493" s="4">
        <v>7.237905472150236E-5</v>
      </c>
      <c r="G2493" s="4">
        <v>7.237905472150236E-5</v>
      </c>
      <c r="H2493" s="4">
        <v>7.237905472150236E-5</v>
      </c>
      <c r="I2493" s="4">
        <v>7.237905472150236E-5</v>
      </c>
      <c r="J2493" s="4">
        <v>7.237905472150236E-5</v>
      </c>
      <c r="K2493" s="4">
        <v>7.237905472150236E-5</v>
      </c>
      <c r="L2493" s="4">
        <v>7.237905472150236E-5</v>
      </c>
      <c r="M2493" s="4">
        <v>7.237905472150236E-5</v>
      </c>
      <c r="N2493" t="s">
        <v>256</v>
      </c>
      <c r="O2493" t="s">
        <v>392</v>
      </c>
      <c r="P2493" t="s">
        <v>393</v>
      </c>
      <c r="Q2493" s="4" t="s">
        <v>245</v>
      </c>
    </row>
    <row r="2494" spans="1:17" x14ac:dyDescent="0.25">
      <c r="A2494" t="s">
        <v>745</v>
      </c>
      <c r="B2494" t="s">
        <v>86</v>
      </c>
      <c r="C2494" s="4">
        <v>0.78500000000000003</v>
      </c>
      <c r="D2494" s="4">
        <v>0.78500000000000003</v>
      </c>
      <c r="E2494" s="4">
        <v>0.78500000000000003</v>
      </c>
      <c r="F2494" s="4">
        <v>0.78500000000000003</v>
      </c>
      <c r="G2494" s="4">
        <v>0.78500000000000003</v>
      </c>
      <c r="H2494" s="4">
        <v>0.78500000000000003</v>
      </c>
      <c r="I2494" s="4">
        <v>0.78500000000000003</v>
      </c>
      <c r="J2494" s="4">
        <v>0.78500000000000003</v>
      </c>
      <c r="K2494" s="4">
        <v>0.78500000000000003</v>
      </c>
      <c r="L2494" s="4">
        <v>0.78500000000000003</v>
      </c>
      <c r="M2494" s="4">
        <v>0.78500000000000003</v>
      </c>
      <c r="N2494" t="s">
        <v>256</v>
      </c>
      <c r="O2494" t="s">
        <v>746</v>
      </c>
      <c r="P2494" t="s">
        <v>745</v>
      </c>
      <c r="Q2494" s="4" t="s">
        <v>245</v>
      </c>
    </row>
    <row r="2495" spans="1:17" x14ac:dyDescent="0.25">
      <c r="A2495" t="s">
        <v>745</v>
      </c>
      <c r="B2495" t="s">
        <v>113</v>
      </c>
      <c r="C2495" s="4">
        <v>0.106</v>
      </c>
      <c r="D2495" s="4">
        <v>0.106</v>
      </c>
      <c r="E2495" s="4">
        <v>0.106</v>
      </c>
      <c r="F2495" s="4">
        <v>0.106</v>
      </c>
      <c r="G2495" s="4">
        <v>0.106</v>
      </c>
      <c r="H2495" s="4">
        <v>0.106</v>
      </c>
      <c r="I2495" s="4">
        <v>0.106</v>
      </c>
      <c r="J2495" s="4">
        <v>0.106</v>
      </c>
      <c r="K2495" s="4">
        <v>0.106</v>
      </c>
      <c r="L2495" s="4">
        <v>0.106</v>
      </c>
      <c r="M2495" s="4">
        <v>0.106</v>
      </c>
      <c r="N2495" t="s">
        <v>256</v>
      </c>
      <c r="O2495" t="s">
        <v>746</v>
      </c>
      <c r="P2495" t="s">
        <v>745</v>
      </c>
      <c r="Q2495" s="4" t="s">
        <v>245</v>
      </c>
    </row>
    <row r="2496" spans="1:17" x14ac:dyDescent="0.25">
      <c r="A2496" t="s">
        <v>745</v>
      </c>
      <c r="B2496" t="s">
        <v>102</v>
      </c>
      <c r="C2496" s="4">
        <v>6.4000000000000001E-2</v>
      </c>
      <c r="D2496" s="4">
        <v>6.4000000000000001E-2</v>
      </c>
      <c r="E2496" s="4">
        <v>6.4000000000000001E-2</v>
      </c>
      <c r="F2496" s="4">
        <v>6.4000000000000001E-2</v>
      </c>
      <c r="G2496" s="4">
        <v>6.4000000000000001E-2</v>
      </c>
      <c r="H2496" s="4">
        <v>6.4000000000000001E-2</v>
      </c>
      <c r="I2496" s="4">
        <v>6.4000000000000001E-2</v>
      </c>
      <c r="J2496" s="4">
        <v>6.4000000000000001E-2</v>
      </c>
      <c r="K2496" s="4">
        <v>6.4000000000000001E-2</v>
      </c>
      <c r="L2496" s="4">
        <v>6.4000000000000001E-2</v>
      </c>
      <c r="M2496" s="4">
        <v>6.4000000000000001E-2</v>
      </c>
      <c r="N2496" t="s">
        <v>256</v>
      </c>
      <c r="O2496" t="s">
        <v>746</v>
      </c>
      <c r="P2496" t="s">
        <v>745</v>
      </c>
      <c r="Q2496" s="4" t="s">
        <v>245</v>
      </c>
    </row>
    <row r="2497" spans="1:18" x14ac:dyDescent="0.25">
      <c r="A2497" t="s">
        <v>745</v>
      </c>
      <c r="B2497" t="s">
        <v>115</v>
      </c>
      <c r="C2497" s="4">
        <v>4.4999999999999998E-2</v>
      </c>
      <c r="D2497" s="4">
        <v>4.4999999999999998E-2</v>
      </c>
      <c r="E2497" s="4">
        <v>4.4999999999999998E-2</v>
      </c>
      <c r="F2497" s="4">
        <v>4.4999999999999998E-2</v>
      </c>
      <c r="G2497" s="4">
        <v>4.4999999999999998E-2</v>
      </c>
      <c r="H2497" s="4">
        <v>4.4999999999999998E-2</v>
      </c>
      <c r="I2497" s="4">
        <v>4.4999999999999998E-2</v>
      </c>
      <c r="J2497" s="4">
        <v>4.4999999999999998E-2</v>
      </c>
      <c r="K2497" s="4">
        <v>4.4999999999999998E-2</v>
      </c>
      <c r="L2497" s="4">
        <v>4.4999999999999998E-2</v>
      </c>
      <c r="M2497" s="4">
        <v>4.4999999999999998E-2</v>
      </c>
      <c r="N2497" t="s">
        <v>256</v>
      </c>
      <c r="O2497" t="s">
        <v>746</v>
      </c>
      <c r="P2497" t="s">
        <v>745</v>
      </c>
      <c r="Q2497" s="4" t="s">
        <v>245</v>
      </c>
    </row>
    <row r="2498" spans="1:18" x14ac:dyDescent="0.25">
      <c r="A2498" t="s">
        <v>747</v>
      </c>
      <c r="B2498" t="s">
        <v>86</v>
      </c>
      <c r="C2498" s="4">
        <v>0.78500000000000003</v>
      </c>
      <c r="D2498" s="4">
        <v>0.78500000000000003</v>
      </c>
      <c r="E2498" s="4">
        <v>0.78500000000000003</v>
      </c>
      <c r="F2498" s="4">
        <v>0.78500000000000003</v>
      </c>
      <c r="G2498" s="4">
        <v>0.78500000000000003</v>
      </c>
      <c r="H2498" s="4">
        <v>0.78500000000000003</v>
      </c>
      <c r="I2498" s="4">
        <v>0.78500000000000003</v>
      </c>
      <c r="J2498" s="4">
        <v>0.78500000000000003</v>
      </c>
      <c r="K2498" s="4">
        <v>0.78500000000000003</v>
      </c>
      <c r="L2498" s="4">
        <v>0.78500000000000003</v>
      </c>
      <c r="M2498" s="4">
        <v>0.78500000000000003</v>
      </c>
      <c r="N2498" t="s">
        <v>256</v>
      </c>
      <c r="O2498" t="s">
        <v>748</v>
      </c>
      <c r="P2498" t="s">
        <v>747</v>
      </c>
      <c r="Q2498" s="4" t="s">
        <v>245</v>
      </c>
    </row>
    <row r="2499" spans="1:18" x14ac:dyDescent="0.25">
      <c r="A2499" t="s">
        <v>747</v>
      </c>
      <c r="B2499" t="s">
        <v>113</v>
      </c>
      <c r="C2499" s="4">
        <v>0.106</v>
      </c>
      <c r="D2499" s="4">
        <v>0.106</v>
      </c>
      <c r="E2499" s="4">
        <v>0.106</v>
      </c>
      <c r="F2499" s="4">
        <v>0.106</v>
      </c>
      <c r="G2499" s="4">
        <v>0.106</v>
      </c>
      <c r="H2499" s="4">
        <v>0.106</v>
      </c>
      <c r="I2499" s="4">
        <v>0.106</v>
      </c>
      <c r="J2499" s="4">
        <v>0.106</v>
      </c>
      <c r="K2499" s="4">
        <v>0.106</v>
      </c>
      <c r="L2499" s="4">
        <v>0.106</v>
      </c>
      <c r="M2499" s="4">
        <v>0.106</v>
      </c>
      <c r="N2499" t="s">
        <v>256</v>
      </c>
      <c r="O2499" t="s">
        <v>748</v>
      </c>
      <c r="P2499" t="s">
        <v>747</v>
      </c>
      <c r="Q2499" s="4" t="s">
        <v>245</v>
      </c>
    </row>
    <row r="2500" spans="1:18" x14ac:dyDescent="0.25">
      <c r="A2500" t="s">
        <v>747</v>
      </c>
      <c r="B2500" t="s">
        <v>102</v>
      </c>
      <c r="C2500" s="4">
        <v>6.4000000000000001E-2</v>
      </c>
      <c r="D2500" s="4">
        <v>6.4000000000000001E-2</v>
      </c>
      <c r="E2500" s="4">
        <v>6.4000000000000001E-2</v>
      </c>
      <c r="F2500" s="4">
        <v>6.4000000000000001E-2</v>
      </c>
      <c r="G2500" s="4">
        <v>6.4000000000000001E-2</v>
      </c>
      <c r="H2500" s="4">
        <v>6.4000000000000001E-2</v>
      </c>
      <c r="I2500" s="4">
        <v>6.4000000000000001E-2</v>
      </c>
      <c r="J2500" s="4">
        <v>6.4000000000000001E-2</v>
      </c>
      <c r="K2500" s="4">
        <v>6.4000000000000001E-2</v>
      </c>
      <c r="L2500" s="4">
        <v>6.4000000000000001E-2</v>
      </c>
      <c r="M2500" s="4">
        <v>6.4000000000000001E-2</v>
      </c>
      <c r="N2500" t="s">
        <v>256</v>
      </c>
      <c r="O2500" t="s">
        <v>748</v>
      </c>
      <c r="P2500" t="s">
        <v>747</v>
      </c>
      <c r="Q2500" s="4" t="s">
        <v>245</v>
      </c>
    </row>
    <row r="2501" spans="1:18" x14ac:dyDescent="0.25">
      <c r="A2501" t="s">
        <v>747</v>
      </c>
      <c r="B2501" t="s">
        <v>115</v>
      </c>
      <c r="C2501" s="4">
        <v>4.4999999999999998E-2</v>
      </c>
      <c r="D2501" s="4">
        <v>4.4999999999999998E-2</v>
      </c>
      <c r="E2501" s="4">
        <v>4.4999999999999998E-2</v>
      </c>
      <c r="F2501" s="4">
        <v>4.4999999999999998E-2</v>
      </c>
      <c r="G2501" s="4">
        <v>4.4999999999999998E-2</v>
      </c>
      <c r="H2501" s="4">
        <v>4.4999999999999998E-2</v>
      </c>
      <c r="I2501" s="4">
        <v>4.4999999999999998E-2</v>
      </c>
      <c r="J2501" s="4">
        <v>4.4999999999999998E-2</v>
      </c>
      <c r="K2501" s="4">
        <v>4.4999999999999998E-2</v>
      </c>
      <c r="L2501" s="4">
        <v>4.4999999999999998E-2</v>
      </c>
      <c r="M2501" s="4">
        <v>4.4999999999999998E-2</v>
      </c>
      <c r="N2501" t="s">
        <v>256</v>
      </c>
      <c r="O2501" t="s">
        <v>748</v>
      </c>
      <c r="P2501" t="s">
        <v>747</v>
      </c>
      <c r="Q2501" s="4" t="s">
        <v>245</v>
      </c>
    </row>
    <row r="2502" spans="1:18" s="38" customFormat="1" x14ac:dyDescent="0.25">
      <c r="A2502" s="38" t="s">
        <v>398</v>
      </c>
      <c r="B2502" s="38" t="s">
        <v>83</v>
      </c>
      <c r="C2502" s="35">
        <v>2.305455914062286E-3</v>
      </c>
      <c r="D2502" s="35">
        <v>2.305455914062286E-3</v>
      </c>
      <c r="E2502" s="35">
        <v>2.305455914062286E-3</v>
      </c>
      <c r="F2502" s="35">
        <v>2.305455914062286E-3</v>
      </c>
      <c r="G2502" s="35">
        <v>2.305455914062286E-3</v>
      </c>
      <c r="H2502" s="35">
        <v>2.305455914062286E-3</v>
      </c>
      <c r="I2502" s="35">
        <v>2.305455914062286E-3</v>
      </c>
      <c r="J2502" s="35">
        <v>2.305455914062286E-3</v>
      </c>
      <c r="K2502" s="35">
        <v>2.305455914062286E-3</v>
      </c>
      <c r="L2502" s="35">
        <v>2.305455914062286E-3</v>
      </c>
      <c r="M2502" s="35">
        <v>2.305455914062286E-3</v>
      </c>
      <c r="N2502" s="38" t="s">
        <v>312</v>
      </c>
      <c r="O2502" s="38" t="s">
        <v>335</v>
      </c>
      <c r="P2502" s="38" t="s">
        <v>398</v>
      </c>
      <c r="Q2502" s="38" t="s">
        <v>245</v>
      </c>
      <c r="R2502" s="38" t="s">
        <v>399</v>
      </c>
    </row>
    <row r="2503" spans="1:18" s="38" customFormat="1" x14ac:dyDescent="0.25">
      <c r="A2503" s="38" t="s">
        <v>398</v>
      </c>
      <c r="B2503" s="38" t="s">
        <v>116</v>
      </c>
      <c r="C2503" s="35">
        <v>7.2254198690341873E-2</v>
      </c>
      <c r="D2503" s="35">
        <v>7.2254198690341873E-2</v>
      </c>
      <c r="E2503" s="35">
        <v>7.2254198690341873E-2</v>
      </c>
      <c r="F2503" s="35">
        <v>7.2254198690341873E-2</v>
      </c>
      <c r="G2503" s="35">
        <v>7.2254198690341873E-2</v>
      </c>
      <c r="H2503" s="35">
        <v>7.2254198690341873E-2</v>
      </c>
      <c r="I2503" s="35">
        <v>7.2254198690341873E-2</v>
      </c>
      <c r="J2503" s="35">
        <v>7.2254198690341873E-2</v>
      </c>
      <c r="K2503" s="35">
        <v>7.2254198690341873E-2</v>
      </c>
      <c r="L2503" s="35">
        <v>7.2254198690341873E-2</v>
      </c>
      <c r="M2503" s="35">
        <v>7.2254198690341873E-2</v>
      </c>
      <c r="N2503" s="38" t="s">
        <v>312</v>
      </c>
      <c r="O2503" s="38" t="s">
        <v>335</v>
      </c>
      <c r="P2503" s="38" t="s">
        <v>398</v>
      </c>
      <c r="Q2503" s="38" t="s">
        <v>245</v>
      </c>
    </row>
    <row r="2504" spans="1:18" s="38" customFormat="1" x14ac:dyDescent="0.25">
      <c r="A2504" s="38" t="s">
        <v>400</v>
      </c>
      <c r="B2504" s="38" t="s">
        <v>116</v>
      </c>
      <c r="C2504" s="35">
        <v>3.9120701402355483E-2</v>
      </c>
      <c r="D2504" s="35">
        <v>3.9120701402355483E-2</v>
      </c>
      <c r="E2504" s="35">
        <v>3.9120701402355483E-2</v>
      </c>
      <c r="F2504" s="35">
        <v>3.9120701402355483E-2</v>
      </c>
      <c r="G2504" s="35">
        <v>3.9120701402355483E-2</v>
      </c>
      <c r="H2504" s="35">
        <v>3.9120701402355483E-2</v>
      </c>
      <c r="I2504" s="35">
        <v>3.9120701402355483E-2</v>
      </c>
      <c r="J2504" s="35">
        <v>3.9120701402355483E-2</v>
      </c>
      <c r="K2504" s="35">
        <v>3.9120701402355483E-2</v>
      </c>
      <c r="L2504" s="35">
        <v>3.9120701402355483E-2</v>
      </c>
      <c r="M2504" s="35">
        <v>3.9120701402355483E-2</v>
      </c>
      <c r="N2504" s="38" t="s">
        <v>312</v>
      </c>
      <c r="O2504" s="38" t="s">
        <v>335</v>
      </c>
      <c r="P2504" s="38" t="s">
        <v>400</v>
      </c>
      <c r="Q2504" s="38" t="s">
        <v>245</v>
      </c>
    </row>
    <row r="2505" spans="1:18" s="38" customFormat="1" x14ac:dyDescent="0.25">
      <c r="A2505" s="38" t="s">
        <v>398</v>
      </c>
      <c r="B2505" s="38" t="s">
        <v>86</v>
      </c>
      <c r="C2505" s="35">
        <v>5.47141640877781E-3</v>
      </c>
      <c r="D2505" s="35">
        <v>5.47141640877781E-3</v>
      </c>
      <c r="E2505" s="35">
        <v>5.47141640877781E-3</v>
      </c>
      <c r="F2505" s="35">
        <v>5.47141640877781E-3</v>
      </c>
      <c r="G2505" s="35">
        <v>5.47141640877781E-3</v>
      </c>
      <c r="H2505" s="35">
        <v>5.47141640877781E-3</v>
      </c>
      <c r="I2505" s="35">
        <v>5.47141640877781E-3</v>
      </c>
      <c r="J2505" s="35">
        <v>5.47141640877781E-3</v>
      </c>
      <c r="K2505" s="35">
        <v>5.47141640877781E-3</v>
      </c>
      <c r="L2505" s="35">
        <v>5.47141640877781E-3</v>
      </c>
      <c r="M2505" s="35">
        <v>5.47141640877781E-3</v>
      </c>
      <c r="N2505" s="38" t="s">
        <v>320</v>
      </c>
      <c r="O2505" s="38" t="s">
        <v>337</v>
      </c>
      <c r="P2505" s="38" t="s">
        <v>398</v>
      </c>
      <c r="Q2505" s="38" t="s">
        <v>245</v>
      </c>
    </row>
    <row r="2506" spans="1:18" s="44" customFormat="1" x14ac:dyDescent="0.25">
      <c r="A2506" s="44" t="s">
        <v>401</v>
      </c>
      <c r="B2506" s="44" t="s">
        <v>86</v>
      </c>
      <c r="C2506" s="45">
        <f>1.16987743428097%/SUM(C2507,C2509,C2512,C2515,C2522,C2527)</f>
        <v>1.4083063032410255E-2</v>
      </c>
      <c r="D2506" s="45">
        <f t="shared" ref="D2506:M2506" si="1300">1.16987743428097%/SUM(D2507,D2509,D2512,D2515,D2522,D2527)</f>
        <v>1.4083063032410255E-2</v>
      </c>
      <c r="E2506" s="45">
        <f t="shared" si="1300"/>
        <v>1.4083063032410255E-2</v>
      </c>
      <c r="F2506" s="45">
        <f t="shared" si="1300"/>
        <v>1.4083063032410255E-2</v>
      </c>
      <c r="G2506" s="45">
        <f t="shared" si="1300"/>
        <v>1.4083063032410255E-2</v>
      </c>
      <c r="H2506" s="45">
        <f t="shared" si="1300"/>
        <v>1.4083063032410255E-2</v>
      </c>
      <c r="I2506" s="45">
        <f t="shared" si="1300"/>
        <v>1.4083063032410255E-2</v>
      </c>
      <c r="J2506" s="45">
        <f t="shared" si="1300"/>
        <v>1.4083063032410255E-2</v>
      </c>
      <c r="K2506" s="45">
        <f t="shared" si="1300"/>
        <v>1.4083063032410255E-2</v>
      </c>
      <c r="L2506" s="45">
        <f t="shared" si="1300"/>
        <v>1.4083063032410255E-2</v>
      </c>
      <c r="M2506" s="45">
        <f t="shared" si="1300"/>
        <v>1.4083063032410255E-2</v>
      </c>
      <c r="N2506" s="44" t="s">
        <v>320</v>
      </c>
      <c r="O2506" s="44" t="s">
        <v>402</v>
      </c>
      <c r="P2506" s="44" t="s">
        <v>401</v>
      </c>
      <c r="Q2506" s="44" t="s">
        <v>245</v>
      </c>
    </row>
    <row r="2507" spans="1:18" s="38" customFormat="1" x14ac:dyDescent="0.25">
      <c r="A2507" s="38" t="s">
        <v>400</v>
      </c>
      <c r="B2507" s="38" t="s">
        <v>86</v>
      </c>
      <c r="C2507" s="35">
        <v>1.1698774342809651E-2</v>
      </c>
      <c r="D2507" s="35">
        <v>1.1698774342809651E-2</v>
      </c>
      <c r="E2507" s="35">
        <v>1.1698774342809651E-2</v>
      </c>
      <c r="F2507" s="35">
        <v>1.1698774342809651E-2</v>
      </c>
      <c r="G2507" s="35">
        <v>1.1698774342809651E-2</v>
      </c>
      <c r="H2507" s="35">
        <v>1.1698774342809651E-2</v>
      </c>
      <c r="I2507" s="35">
        <v>1.1698774342809651E-2</v>
      </c>
      <c r="J2507" s="35">
        <v>1.1698774342809651E-2</v>
      </c>
      <c r="K2507" s="35">
        <v>1.1698774342809651E-2</v>
      </c>
      <c r="L2507" s="35">
        <v>1.1698774342809651E-2</v>
      </c>
      <c r="M2507" s="35">
        <v>1.1698774342809651E-2</v>
      </c>
      <c r="N2507" s="38" t="s">
        <v>320</v>
      </c>
      <c r="O2507" s="38" t="s">
        <v>337</v>
      </c>
      <c r="P2507" s="38" t="s">
        <v>400</v>
      </c>
      <c r="Q2507" s="38" t="s">
        <v>245</v>
      </c>
    </row>
    <row r="2508" spans="1:18" s="44" customFormat="1" x14ac:dyDescent="0.25">
      <c r="A2508" s="44" t="s">
        <v>401</v>
      </c>
      <c r="B2508" s="44" t="s">
        <v>193</v>
      </c>
      <c r="C2508" s="45">
        <f>0.191579128637851%/SUM(C2507,C2509,C2512,C2515,C2522,C2527)</f>
        <v>2.306242402187496E-3</v>
      </c>
      <c r="D2508" s="45">
        <f t="shared" ref="D2508:M2508" si="1301">0.191579128637851%/SUM(D2507,D2509,D2512,D2515,D2522,D2527)</f>
        <v>2.306242402187496E-3</v>
      </c>
      <c r="E2508" s="45">
        <f t="shared" si="1301"/>
        <v>2.306242402187496E-3</v>
      </c>
      <c r="F2508" s="45">
        <f t="shared" si="1301"/>
        <v>2.306242402187496E-3</v>
      </c>
      <c r="G2508" s="45">
        <f t="shared" si="1301"/>
        <v>2.306242402187496E-3</v>
      </c>
      <c r="H2508" s="45">
        <f t="shared" si="1301"/>
        <v>2.306242402187496E-3</v>
      </c>
      <c r="I2508" s="45">
        <f t="shared" si="1301"/>
        <v>2.306242402187496E-3</v>
      </c>
      <c r="J2508" s="45">
        <f t="shared" si="1301"/>
        <v>2.306242402187496E-3</v>
      </c>
      <c r="K2508" s="45">
        <f t="shared" si="1301"/>
        <v>2.306242402187496E-3</v>
      </c>
      <c r="L2508" s="45">
        <f t="shared" si="1301"/>
        <v>2.306242402187496E-3</v>
      </c>
      <c r="M2508" s="45">
        <f t="shared" si="1301"/>
        <v>2.306242402187496E-3</v>
      </c>
      <c r="N2508" s="44" t="s">
        <v>320</v>
      </c>
      <c r="O2508" s="44" t="s">
        <v>402</v>
      </c>
      <c r="P2508" s="44" t="s">
        <v>401</v>
      </c>
      <c r="Q2508" s="44" t="s">
        <v>245</v>
      </c>
    </row>
    <row r="2509" spans="1:18" s="38" customFormat="1" x14ac:dyDescent="0.25">
      <c r="A2509" s="38" t="s">
        <v>400</v>
      </c>
      <c r="B2509" s="38" t="s">
        <v>193</v>
      </c>
      <c r="C2509" s="35">
        <v>1.915791286378509E-3</v>
      </c>
      <c r="D2509" s="35">
        <v>1.915791286378509E-3</v>
      </c>
      <c r="E2509" s="35">
        <v>1.915791286378509E-3</v>
      </c>
      <c r="F2509" s="35">
        <v>1.915791286378509E-3</v>
      </c>
      <c r="G2509" s="35">
        <v>1.915791286378509E-3</v>
      </c>
      <c r="H2509" s="35">
        <v>1.915791286378509E-3</v>
      </c>
      <c r="I2509" s="35">
        <v>1.915791286378509E-3</v>
      </c>
      <c r="J2509" s="35">
        <v>1.915791286378509E-3</v>
      </c>
      <c r="K2509" s="35">
        <v>1.915791286378509E-3</v>
      </c>
      <c r="L2509" s="35">
        <v>1.915791286378509E-3</v>
      </c>
      <c r="M2509" s="35">
        <v>1.915791286378509E-3</v>
      </c>
      <c r="N2509" s="38" t="s">
        <v>320</v>
      </c>
      <c r="O2509" s="38" t="s">
        <v>337</v>
      </c>
      <c r="P2509" s="38" t="s">
        <v>400</v>
      </c>
      <c r="Q2509" s="38" t="s">
        <v>245</v>
      </c>
    </row>
    <row r="2510" spans="1:18" s="38" customFormat="1" x14ac:dyDescent="0.25">
      <c r="A2510" s="38" t="s">
        <v>398</v>
      </c>
      <c r="B2510" s="38" t="s">
        <v>154</v>
      </c>
      <c r="C2510" s="35">
        <v>3.955170861557414E-3</v>
      </c>
      <c r="D2510" s="35">
        <v>3.955170861557414E-3</v>
      </c>
      <c r="E2510" s="35">
        <v>3.955170861557414E-3</v>
      </c>
      <c r="F2510" s="35">
        <v>3.955170861557414E-3</v>
      </c>
      <c r="G2510" s="35">
        <v>3.955170861557414E-3</v>
      </c>
      <c r="H2510" s="35">
        <v>3.955170861557414E-3</v>
      </c>
      <c r="I2510" s="35">
        <v>3.955170861557414E-3</v>
      </c>
      <c r="J2510" s="35">
        <v>3.955170861557414E-3</v>
      </c>
      <c r="K2510" s="35">
        <v>3.955170861557414E-3</v>
      </c>
      <c r="L2510" s="35">
        <v>3.955170861557414E-3</v>
      </c>
      <c r="M2510" s="35">
        <v>3.955170861557414E-3</v>
      </c>
      <c r="N2510" s="38" t="s">
        <v>320</v>
      </c>
      <c r="O2510" s="38" t="s">
        <v>337</v>
      </c>
      <c r="P2510" s="38" t="s">
        <v>398</v>
      </c>
      <c r="Q2510" s="38" t="s">
        <v>245</v>
      </c>
    </row>
    <row r="2511" spans="1:18" s="44" customFormat="1" x14ac:dyDescent="0.25">
      <c r="A2511" s="44" t="s">
        <v>401</v>
      </c>
      <c r="B2511" s="44" t="s">
        <v>154</v>
      </c>
      <c r="C2511" s="45">
        <f>0.624246598932323%/SUM(C2507,C2509,C2512,C2515,C2522,C2527)</f>
        <v>7.5147224340940816E-3</v>
      </c>
      <c r="D2511" s="45">
        <f t="shared" ref="D2511:M2511" si="1302">0.624246598932323%/SUM(D2507,D2509,D2512,D2515,D2522,D2527)</f>
        <v>7.5147224340940816E-3</v>
      </c>
      <c r="E2511" s="45">
        <f t="shared" si="1302"/>
        <v>7.5147224340940816E-3</v>
      </c>
      <c r="F2511" s="45">
        <f t="shared" si="1302"/>
        <v>7.5147224340940816E-3</v>
      </c>
      <c r="G2511" s="45">
        <f t="shared" si="1302"/>
        <v>7.5147224340940816E-3</v>
      </c>
      <c r="H2511" s="45">
        <f t="shared" si="1302"/>
        <v>7.5147224340940816E-3</v>
      </c>
      <c r="I2511" s="45">
        <f t="shared" si="1302"/>
        <v>7.5147224340940816E-3</v>
      </c>
      <c r="J2511" s="45">
        <f t="shared" si="1302"/>
        <v>7.5147224340940816E-3</v>
      </c>
      <c r="K2511" s="45">
        <f t="shared" si="1302"/>
        <v>7.5147224340940816E-3</v>
      </c>
      <c r="L2511" s="45">
        <f t="shared" si="1302"/>
        <v>7.5147224340940816E-3</v>
      </c>
      <c r="M2511" s="45">
        <f t="shared" si="1302"/>
        <v>7.5147224340940816E-3</v>
      </c>
      <c r="N2511" s="44" t="s">
        <v>320</v>
      </c>
      <c r="O2511" s="44" t="s">
        <v>402</v>
      </c>
      <c r="P2511" s="44" t="s">
        <v>401</v>
      </c>
      <c r="Q2511" s="44" t="s">
        <v>245</v>
      </c>
    </row>
    <row r="2512" spans="1:18" s="38" customFormat="1" x14ac:dyDescent="0.25">
      <c r="A2512" s="38" t="s">
        <v>400</v>
      </c>
      <c r="B2512" s="38" t="s">
        <v>154</v>
      </c>
      <c r="C2512" s="35">
        <v>6.242465989323231E-3</v>
      </c>
      <c r="D2512" s="35">
        <v>6.242465989323231E-3</v>
      </c>
      <c r="E2512" s="35">
        <v>6.242465989323231E-3</v>
      </c>
      <c r="F2512" s="35">
        <v>6.242465989323231E-3</v>
      </c>
      <c r="G2512" s="35">
        <v>6.242465989323231E-3</v>
      </c>
      <c r="H2512" s="35">
        <v>6.242465989323231E-3</v>
      </c>
      <c r="I2512" s="35">
        <v>6.242465989323231E-3</v>
      </c>
      <c r="J2512" s="35">
        <v>6.242465989323231E-3</v>
      </c>
      <c r="K2512" s="35">
        <v>6.242465989323231E-3</v>
      </c>
      <c r="L2512" s="35">
        <v>6.242465989323231E-3</v>
      </c>
      <c r="M2512" s="35">
        <v>6.242465989323231E-3</v>
      </c>
      <c r="N2512" s="38" t="s">
        <v>320</v>
      </c>
      <c r="O2512" s="38" t="s">
        <v>337</v>
      </c>
      <c r="P2512" s="38" t="s">
        <v>400</v>
      </c>
      <c r="Q2512" s="38" t="s">
        <v>245</v>
      </c>
    </row>
    <row r="2513" spans="1:18" s="38" customFormat="1" x14ac:dyDescent="0.25">
      <c r="A2513" s="38" t="s">
        <v>398</v>
      </c>
      <c r="B2513" s="38" t="s">
        <v>151</v>
      </c>
      <c r="C2513" s="35">
        <v>2.901508701624596E-5</v>
      </c>
      <c r="D2513" s="35">
        <v>2.901508701624596E-5</v>
      </c>
      <c r="E2513" s="35">
        <v>2.901508701624596E-5</v>
      </c>
      <c r="F2513" s="35">
        <v>2.901508701624596E-5</v>
      </c>
      <c r="G2513" s="35">
        <v>2.901508701624596E-5</v>
      </c>
      <c r="H2513" s="35">
        <v>2.901508701624596E-5</v>
      </c>
      <c r="I2513" s="35">
        <v>2.901508701624596E-5</v>
      </c>
      <c r="J2513" s="35">
        <v>2.901508701624596E-5</v>
      </c>
      <c r="K2513" s="35">
        <v>2.901508701624596E-5</v>
      </c>
      <c r="L2513" s="35">
        <v>2.901508701624596E-5</v>
      </c>
      <c r="M2513" s="35">
        <v>2.901508701624596E-5</v>
      </c>
      <c r="N2513" s="38" t="s">
        <v>320</v>
      </c>
      <c r="O2513" s="38" t="s">
        <v>337</v>
      </c>
      <c r="P2513" s="38" t="s">
        <v>398</v>
      </c>
      <c r="Q2513" s="38" t="s">
        <v>245</v>
      </c>
    </row>
    <row r="2514" spans="1:18" s="44" customFormat="1" x14ac:dyDescent="0.25">
      <c r="A2514" s="44" t="s">
        <v>401</v>
      </c>
      <c r="B2514" s="44" t="s">
        <v>151</v>
      </c>
      <c r="C2514" s="45">
        <f>0.00402437837392652%/SUM(C2507,C2509,C2512,C2515,C2522,C2527)</f>
        <v>4.8445736831491086E-5</v>
      </c>
      <c r="D2514" s="45">
        <f t="shared" ref="D2514:M2514" si="1303">0.00402437837392652%/SUM(D2507,D2509,D2512,D2515,D2522,D2527)</f>
        <v>4.8445736831491086E-5</v>
      </c>
      <c r="E2514" s="45">
        <f t="shared" si="1303"/>
        <v>4.8445736831491086E-5</v>
      </c>
      <c r="F2514" s="45">
        <f t="shared" si="1303"/>
        <v>4.8445736831491086E-5</v>
      </c>
      <c r="G2514" s="45">
        <f t="shared" si="1303"/>
        <v>4.8445736831491086E-5</v>
      </c>
      <c r="H2514" s="45">
        <f t="shared" si="1303"/>
        <v>4.8445736831491086E-5</v>
      </c>
      <c r="I2514" s="45">
        <f t="shared" si="1303"/>
        <v>4.8445736831491086E-5</v>
      </c>
      <c r="J2514" s="45">
        <f t="shared" si="1303"/>
        <v>4.8445736831491086E-5</v>
      </c>
      <c r="K2514" s="45">
        <f t="shared" si="1303"/>
        <v>4.8445736831491086E-5</v>
      </c>
      <c r="L2514" s="45">
        <f t="shared" si="1303"/>
        <v>4.8445736831491086E-5</v>
      </c>
      <c r="M2514" s="45">
        <f t="shared" si="1303"/>
        <v>4.8445736831491086E-5</v>
      </c>
      <c r="N2514" s="44" t="s">
        <v>320</v>
      </c>
      <c r="O2514" s="44" t="s">
        <v>402</v>
      </c>
      <c r="P2514" s="44" t="s">
        <v>401</v>
      </c>
      <c r="Q2514" s="44" t="s">
        <v>245</v>
      </c>
      <c r="R2514" s="46"/>
    </row>
    <row r="2515" spans="1:18" s="38" customFormat="1" x14ac:dyDescent="0.25">
      <c r="A2515" s="38" t="s">
        <v>400</v>
      </c>
      <c r="B2515" s="38" t="s">
        <v>151</v>
      </c>
      <c r="C2515" s="35">
        <v>4.0243783739265212E-5</v>
      </c>
      <c r="D2515" s="35">
        <v>4.0243783739265212E-5</v>
      </c>
      <c r="E2515" s="35">
        <v>4.0243783739265212E-5</v>
      </c>
      <c r="F2515" s="35">
        <v>4.0243783739265212E-5</v>
      </c>
      <c r="G2515" s="35">
        <v>4.0243783739265212E-5</v>
      </c>
      <c r="H2515" s="35">
        <v>4.0243783739265212E-5</v>
      </c>
      <c r="I2515" s="35">
        <v>4.0243783739265212E-5</v>
      </c>
      <c r="J2515" s="35">
        <v>4.0243783739265212E-5</v>
      </c>
      <c r="K2515" s="35">
        <v>4.0243783739265212E-5</v>
      </c>
      <c r="L2515" s="35">
        <v>4.0243783739265212E-5</v>
      </c>
      <c r="M2515" s="35">
        <v>4.0243783739265212E-5</v>
      </c>
      <c r="N2515" s="38" t="s">
        <v>320</v>
      </c>
      <c r="O2515" s="38" t="s">
        <v>337</v>
      </c>
      <c r="P2515" s="38" t="s">
        <v>400</v>
      </c>
      <c r="Q2515" s="38" t="s">
        <v>245</v>
      </c>
    </row>
    <row r="2516" spans="1:18" s="38" customFormat="1" x14ac:dyDescent="0.25">
      <c r="A2516" s="38" t="s">
        <v>398</v>
      </c>
      <c r="B2516" s="38" t="s">
        <v>107</v>
      </c>
      <c r="C2516" s="35">
        <v>0.36517559516160991</v>
      </c>
      <c r="D2516" s="35">
        <v>0.36517559516160991</v>
      </c>
      <c r="E2516" s="35">
        <v>0.36517559516160991</v>
      </c>
      <c r="F2516" s="35">
        <v>0.36517559516160991</v>
      </c>
      <c r="G2516" s="35">
        <v>0.36517559516160991</v>
      </c>
      <c r="H2516" s="35">
        <v>0.36517559516160991</v>
      </c>
      <c r="I2516" s="35">
        <v>0.36517559516160991</v>
      </c>
      <c r="J2516" s="35">
        <v>0.36517559516160991</v>
      </c>
      <c r="K2516" s="35">
        <v>0.36517559516160991</v>
      </c>
      <c r="L2516" s="35">
        <v>0.36517559516160991</v>
      </c>
      <c r="M2516" s="35">
        <v>0.36517559516160991</v>
      </c>
      <c r="N2516" s="38" t="s">
        <v>312</v>
      </c>
      <c r="O2516" s="38" t="s">
        <v>335</v>
      </c>
      <c r="P2516" s="38" t="s">
        <v>398</v>
      </c>
      <c r="Q2516" s="38" t="s">
        <v>245</v>
      </c>
    </row>
    <row r="2517" spans="1:18" s="38" customFormat="1" x14ac:dyDescent="0.25">
      <c r="A2517" s="38" t="s">
        <v>400</v>
      </c>
      <c r="B2517" s="38" t="s">
        <v>107</v>
      </c>
      <c r="C2517" s="35">
        <v>0.1099684788224107</v>
      </c>
      <c r="D2517" s="35">
        <v>0.1099684788224107</v>
      </c>
      <c r="E2517" s="35">
        <v>0.1099684788224107</v>
      </c>
      <c r="F2517" s="35">
        <v>0.1099684788224107</v>
      </c>
      <c r="G2517" s="35">
        <v>0.1099684788224107</v>
      </c>
      <c r="H2517" s="35">
        <v>0.1099684788224107</v>
      </c>
      <c r="I2517" s="35">
        <v>0.1099684788224107</v>
      </c>
      <c r="J2517" s="35">
        <v>0.1099684788224107</v>
      </c>
      <c r="K2517" s="35">
        <v>0.1099684788224107</v>
      </c>
      <c r="L2517" s="35">
        <v>0.1099684788224107</v>
      </c>
      <c r="M2517" s="35">
        <v>0.1099684788224107</v>
      </c>
      <c r="N2517" s="38" t="s">
        <v>312</v>
      </c>
      <c r="O2517" s="38" t="s">
        <v>335</v>
      </c>
      <c r="P2517" s="38" t="s">
        <v>400</v>
      </c>
      <c r="Q2517" s="38" t="s">
        <v>245</v>
      </c>
    </row>
    <row r="2518" spans="1:18" s="38" customFormat="1" x14ac:dyDescent="0.25">
      <c r="A2518" s="38" t="s">
        <v>398</v>
      </c>
      <c r="B2518" s="38" t="s">
        <v>179</v>
      </c>
      <c r="C2518" s="35">
        <v>3.2579797706813323E-4</v>
      </c>
      <c r="D2518" s="35">
        <v>3.2579797706813323E-4</v>
      </c>
      <c r="E2518" s="35">
        <v>3.2579797706813323E-4</v>
      </c>
      <c r="F2518" s="35">
        <v>3.2579797706813323E-4</v>
      </c>
      <c r="G2518" s="35">
        <v>3.2579797706813323E-4</v>
      </c>
      <c r="H2518" s="35">
        <v>3.2579797706813323E-4</v>
      </c>
      <c r="I2518" s="35">
        <v>3.2579797706813323E-4</v>
      </c>
      <c r="J2518" s="35">
        <v>3.2579797706813323E-4</v>
      </c>
      <c r="K2518" s="35">
        <v>3.2579797706813323E-4</v>
      </c>
      <c r="L2518" s="35">
        <v>3.2579797706813323E-4</v>
      </c>
      <c r="M2518" s="35">
        <v>3.2579797706813323E-4</v>
      </c>
      <c r="N2518" s="38" t="s">
        <v>312</v>
      </c>
      <c r="O2518" s="38" t="s">
        <v>335</v>
      </c>
      <c r="P2518" s="38" t="s">
        <v>398</v>
      </c>
      <c r="Q2518" s="38" t="s">
        <v>245</v>
      </c>
    </row>
    <row r="2519" spans="1:18" s="38" customFormat="1" x14ac:dyDescent="0.25">
      <c r="A2519" s="38" t="s">
        <v>400</v>
      </c>
      <c r="B2519" s="38" t="s">
        <v>179</v>
      </c>
      <c r="C2519" s="35">
        <v>5.3346411003212008E-5</v>
      </c>
      <c r="D2519" s="35">
        <v>5.3346411003212008E-5</v>
      </c>
      <c r="E2519" s="35">
        <v>5.3346411003212008E-5</v>
      </c>
      <c r="F2519" s="35">
        <v>5.3346411003212008E-5</v>
      </c>
      <c r="G2519" s="35">
        <v>5.3346411003212008E-5</v>
      </c>
      <c r="H2519" s="35">
        <v>5.3346411003212008E-5</v>
      </c>
      <c r="I2519" s="35">
        <v>5.3346411003212008E-5</v>
      </c>
      <c r="J2519" s="35">
        <v>5.3346411003212008E-5</v>
      </c>
      <c r="K2519" s="35">
        <v>5.3346411003212008E-5</v>
      </c>
      <c r="L2519" s="35">
        <v>5.3346411003212008E-5</v>
      </c>
      <c r="M2519" s="35">
        <v>5.3346411003212008E-5</v>
      </c>
      <c r="N2519" s="38" t="s">
        <v>312</v>
      </c>
      <c r="O2519" s="38" t="s">
        <v>335</v>
      </c>
      <c r="P2519" s="38" t="s">
        <v>400</v>
      </c>
      <c r="Q2519" s="38" t="s">
        <v>245</v>
      </c>
    </row>
    <row r="2520" spans="1:18" s="38" customFormat="1" x14ac:dyDescent="0.25">
      <c r="A2520" s="38" t="s">
        <v>398</v>
      </c>
      <c r="B2520" s="38" t="s">
        <v>137</v>
      </c>
      <c r="C2520" s="35">
        <v>0.43378674242644061</v>
      </c>
      <c r="D2520" s="35">
        <v>0.43378674242644061</v>
      </c>
      <c r="E2520" s="35">
        <v>0.43378674242644061</v>
      </c>
      <c r="F2520" s="35">
        <v>0.43378674242644061</v>
      </c>
      <c r="G2520" s="35">
        <v>0.43378674242644061</v>
      </c>
      <c r="H2520" s="35">
        <v>0.43378674242644061</v>
      </c>
      <c r="I2520" s="35">
        <v>0.43378674242644061</v>
      </c>
      <c r="J2520" s="35">
        <v>0.43378674242644061</v>
      </c>
      <c r="K2520" s="35">
        <v>0.43378674242644061</v>
      </c>
      <c r="L2520" s="35">
        <v>0.43378674242644061</v>
      </c>
      <c r="M2520" s="35">
        <v>0.43378674242644061</v>
      </c>
      <c r="N2520" s="38" t="s">
        <v>320</v>
      </c>
      <c r="O2520" s="38" t="s">
        <v>337</v>
      </c>
      <c r="P2520" s="38" t="s">
        <v>398</v>
      </c>
      <c r="Q2520" s="38" t="s">
        <v>245</v>
      </c>
    </row>
    <row r="2521" spans="1:18" s="44" customFormat="1" x14ac:dyDescent="0.25">
      <c r="A2521" s="44" t="s">
        <v>401</v>
      </c>
      <c r="B2521" s="44" t="s">
        <v>137</v>
      </c>
      <c r="C2521" s="45">
        <f>73.5735450468325%/SUM(C2507,C2509,C2512,C2515,C2522,C2527)</f>
        <v>0.88568327078575582</v>
      </c>
      <c r="D2521" s="45">
        <f t="shared" ref="D2521:M2521" si="1304">73.5735450468325%/SUM(D2507,D2509,D2512,D2515,D2522,D2527)</f>
        <v>0.88568327078575582</v>
      </c>
      <c r="E2521" s="45">
        <f t="shared" si="1304"/>
        <v>0.88568327078575582</v>
      </c>
      <c r="F2521" s="45">
        <f t="shared" si="1304"/>
        <v>0.88568327078575582</v>
      </c>
      <c r="G2521" s="45">
        <f t="shared" si="1304"/>
        <v>0.88568327078575582</v>
      </c>
      <c r="H2521" s="45">
        <f t="shared" si="1304"/>
        <v>0.88568327078575582</v>
      </c>
      <c r="I2521" s="45">
        <f t="shared" si="1304"/>
        <v>0.88568327078575582</v>
      </c>
      <c r="J2521" s="45">
        <f t="shared" si="1304"/>
        <v>0.88568327078575582</v>
      </c>
      <c r="K2521" s="45">
        <f t="shared" si="1304"/>
        <v>0.88568327078575582</v>
      </c>
      <c r="L2521" s="45">
        <f t="shared" si="1304"/>
        <v>0.88568327078575582</v>
      </c>
      <c r="M2521" s="45">
        <f t="shared" si="1304"/>
        <v>0.88568327078575582</v>
      </c>
      <c r="N2521" s="44" t="s">
        <v>320</v>
      </c>
      <c r="O2521" s="44" t="s">
        <v>402</v>
      </c>
      <c r="P2521" s="44" t="s">
        <v>401</v>
      </c>
      <c r="Q2521" s="44" t="s">
        <v>245</v>
      </c>
    </row>
    <row r="2522" spans="1:18" s="38" customFormat="1" x14ac:dyDescent="0.25">
      <c r="A2522" s="38" t="s">
        <v>400</v>
      </c>
      <c r="B2522" s="38" t="s">
        <v>137</v>
      </c>
      <c r="C2522" s="35">
        <v>0.73573545046832534</v>
      </c>
      <c r="D2522" s="35">
        <v>0.73573545046832534</v>
      </c>
      <c r="E2522" s="35">
        <v>0.73573545046832534</v>
      </c>
      <c r="F2522" s="35">
        <v>0.73573545046832534</v>
      </c>
      <c r="G2522" s="35">
        <v>0.73573545046832534</v>
      </c>
      <c r="H2522" s="35">
        <v>0.73573545046832534</v>
      </c>
      <c r="I2522" s="35">
        <v>0.73573545046832534</v>
      </c>
      <c r="J2522" s="35">
        <v>0.73573545046832534</v>
      </c>
      <c r="K2522" s="35">
        <v>0.73573545046832534</v>
      </c>
      <c r="L2522" s="35">
        <v>0.73573545046832534</v>
      </c>
      <c r="M2522" s="35">
        <v>0.73573545046832534</v>
      </c>
      <c r="N2522" s="38" t="s">
        <v>320</v>
      </c>
      <c r="O2522" s="38" t="s">
        <v>337</v>
      </c>
      <c r="P2522" s="38" t="s">
        <v>400</v>
      </c>
      <c r="Q2522" s="38" t="s">
        <v>245</v>
      </c>
    </row>
    <row r="2523" spans="1:18" s="38" customFormat="1" x14ac:dyDescent="0.25">
      <c r="A2523" s="38" t="s">
        <v>398</v>
      </c>
      <c r="B2523" s="38" t="s">
        <v>113</v>
      </c>
      <c r="C2523" s="35">
        <v>5.972962912915776E-2</v>
      </c>
      <c r="D2523" s="35">
        <v>5.972962912915776E-2</v>
      </c>
      <c r="E2523" s="35">
        <v>5.972962912915776E-2</v>
      </c>
      <c r="F2523" s="35">
        <v>5.972962912915776E-2</v>
      </c>
      <c r="G2523" s="35">
        <v>5.972962912915776E-2</v>
      </c>
      <c r="H2523" s="35">
        <v>5.972962912915776E-2</v>
      </c>
      <c r="I2523" s="35">
        <v>5.972962912915776E-2</v>
      </c>
      <c r="J2523" s="35">
        <v>5.972962912915776E-2</v>
      </c>
      <c r="K2523" s="35">
        <v>5.972962912915776E-2</v>
      </c>
      <c r="L2523" s="35">
        <v>5.972962912915776E-2</v>
      </c>
      <c r="M2523" s="35">
        <v>5.972962912915776E-2</v>
      </c>
      <c r="N2523" s="38" t="s">
        <v>312</v>
      </c>
      <c r="O2523" s="38" t="s">
        <v>335</v>
      </c>
      <c r="P2523" s="38" t="s">
        <v>398</v>
      </c>
      <c r="Q2523" s="38" t="s">
        <v>245</v>
      </c>
    </row>
    <row r="2524" spans="1:18" s="38" customFormat="1" x14ac:dyDescent="0.25">
      <c r="A2524" s="38" t="s">
        <v>400</v>
      </c>
      <c r="B2524" s="38" t="s">
        <v>113</v>
      </c>
      <c r="C2524" s="35">
        <v>2.0159327947529591E-2</v>
      </c>
      <c r="D2524" s="35">
        <v>2.0159327947529591E-2</v>
      </c>
      <c r="E2524" s="35">
        <v>2.0159327947529591E-2</v>
      </c>
      <c r="F2524" s="35">
        <v>2.0159327947529591E-2</v>
      </c>
      <c r="G2524" s="35">
        <v>2.0159327947529591E-2</v>
      </c>
      <c r="H2524" s="35">
        <v>2.0159327947529591E-2</v>
      </c>
      <c r="I2524" s="35">
        <v>2.0159327947529591E-2</v>
      </c>
      <c r="J2524" s="35">
        <v>2.0159327947529591E-2</v>
      </c>
      <c r="K2524" s="35">
        <v>2.0159327947529591E-2</v>
      </c>
      <c r="L2524" s="35">
        <v>2.0159327947529591E-2</v>
      </c>
      <c r="M2524" s="35">
        <v>2.0159327947529591E-2</v>
      </c>
      <c r="N2524" s="38" t="s">
        <v>312</v>
      </c>
      <c r="O2524" s="38" t="s">
        <v>335</v>
      </c>
      <c r="P2524" s="38" t="s">
        <v>400</v>
      </c>
      <c r="Q2524" s="38" t="s">
        <v>245</v>
      </c>
    </row>
    <row r="2525" spans="1:18" s="38" customFormat="1" x14ac:dyDescent="0.25">
      <c r="A2525" s="38" t="s">
        <v>398</v>
      </c>
      <c r="B2525" s="38" t="s">
        <v>158</v>
      </c>
      <c r="C2525" s="35">
        <v>5.6966978343968057E-2</v>
      </c>
      <c r="D2525" s="35">
        <v>5.6966978343968057E-2</v>
      </c>
      <c r="E2525" s="35">
        <v>5.6966978343968057E-2</v>
      </c>
      <c r="F2525" s="35">
        <v>5.6966978343968057E-2</v>
      </c>
      <c r="G2525" s="35">
        <v>5.6966978343968057E-2</v>
      </c>
      <c r="H2525" s="35">
        <v>5.6966978343968057E-2</v>
      </c>
      <c r="I2525" s="35">
        <v>5.6966978343968057E-2</v>
      </c>
      <c r="J2525" s="35">
        <v>5.6966978343968057E-2</v>
      </c>
      <c r="K2525" s="35">
        <v>5.6966978343968057E-2</v>
      </c>
      <c r="L2525" s="35">
        <v>5.6966978343968057E-2</v>
      </c>
      <c r="M2525" s="35">
        <v>5.6966978343968057E-2</v>
      </c>
      <c r="N2525" s="38" t="s">
        <v>320</v>
      </c>
      <c r="O2525" s="38" t="s">
        <v>337</v>
      </c>
      <c r="P2525" s="38" t="s">
        <v>398</v>
      </c>
      <c r="Q2525" s="38" t="s">
        <v>245</v>
      </c>
    </row>
    <row r="2526" spans="1:18" s="44" customFormat="1" x14ac:dyDescent="0.25">
      <c r="A2526" s="44" t="s">
        <v>401</v>
      </c>
      <c r="B2526" s="44" t="s">
        <v>158</v>
      </c>
      <c r="C2526" s="45">
        <f>7.5065419546125%/SUM(C2507,C2509,C2512,C2515,C2522,C2527)</f>
        <v>9.0364255608720703E-2</v>
      </c>
      <c r="D2526" s="45">
        <f t="shared" ref="D2526:M2526" si="1305">7.5065419546125%/SUM(D2507,D2509,D2512,D2515,D2522,D2527)</f>
        <v>9.0364255608720703E-2</v>
      </c>
      <c r="E2526" s="45">
        <f t="shared" si="1305"/>
        <v>9.0364255608720703E-2</v>
      </c>
      <c r="F2526" s="45">
        <f t="shared" si="1305"/>
        <v>9.0364255608720703E-2</v>
      </c>
      <c r="G2526" s="45">
        <f t="shared" si="1305"/>
        <v>9.0364255608720703E-2</v>
      </c>
      <c r="H2526" s="45">
        <f t="shared" si="1305"/>
        <v>9.0364255608720703E-2</v>
      </c>
      <c r="I2526" s="45">
        <f t="shared" si="1305"/>
        <v>9.0364255608720703E-2</v>
      </c>
      <c r="J2526" s="45">
        <f t="shared" si="1305"/>
        <v>9.0364255608720703E-2</v>
      </c>
      <c r="K2526" s="45">
        <f t="shared" si="1305"/>
        <v>9.0364255608720703E-2</v>
      </c>
      <c r="L2526" s="45">
        <f t="shared" si="1305"/>
        <v>9.0364255608720703E-2</v>
      </c>
      <c r="M2526" s="45">
        <f t="shared" si="1305"/>
        <v>9.0364255608720703E-2</v>
      </c>
      <c r="N2526" s="44" t="s">
        <v>320</v>
      </c>
      <c r="O2526" s="44" t="s">
        <v>402</v>
      </c>
      <c r="P2526" s="44" t="s">
        <v>401</v>
      </c>
      <c r="Q2526" s="44" t="s">
        <v>245</v>
      </c>
    </row>
    <row r="2527" spans="1:18" s="38" customFormat="1" x14ac:dyDescent="0.25">
      <c r="A2527" s="38" t="s">
        <v>400</v>
      </c>
      <c r="B2527" s="38" t="s">
        <v>158</v>
      </c>
      <c r="C2527" s="35">
        <v>7.5065419546124987E-2</v>
      </c>
      <c r="D2527" s="35">
        <v>7.5065419546124987E-2</v>
      </c>
      <c r="E2527" s="35">
        <v>7.5065419546124987E-2</v>
      </c>
      <c r="F2527" s="35">
        <v>7.5065419546124987E-2</v>
      </c>
      <c r="G2527" s="35">
        <v>7.5065419546124987E-2</v>
      </c>
      <c r="H2527" s="35">
        <v>7.5065419546124987E-2</v>
      </c>
      <c r="I2527" s="35">
        <v>7.5065419546124987E-2</v>
      </c>
      <c r="J2527" s="35">
        <v>7.5065419546124987E-2</v>
      </c>
      <c r="K2527" s="35">
        <v>7.5065419546124987E-2</v>
      </c>
      <c r="L2527" s="35">
        <v>7.5065419546124987E-2</v>
      </c>
      <c r="M2527" s="35">
        <v>7.5065419546124987E-2</v>
      </c>
      <c r="N2527" s="38" t="s">
        <v>320</v>
      </c>
      <c r="O2527" s="38" t="s">
        <v>337</v>
      </c>
      <c r="P2527" s="38" t="s">
        <v>400</v>
      </c>
      <c r="Q2527" s="38" t="s">
        <v>245</v>
      </c>
    </row>
    <row r="2528" spans="1:18" x14ac:dyDescent="0.25">
      <c r="A2528" t="s">
        <v>667</v>
      </c>
      <c r="B2528" t="s">
        <v>220</v>
      </c>
      <c r="C2528" s="4">
        <v>0.1592375414864651</v>
      </c>
      <c r="D2528" s="4">
        <v>0.1592375414864651</v>
      </c>
      <c r="E2528" s="4">
        <v>0.1592375414864651</v>
      </c>
      <c r="F2528" s="4">
        <v>0.1592375414864651</v>
      </c>
      <c r="G2528" s="4">
        <v>0.1592375414864651</v>
      </c>
      <c r="H2528" s="4">
        <v>0.1592375414864651</v>
      </c>
      <c r="I2528" s="4">
        <v>0.1592375414864651</v>
      </c>
      <c r="J2528" s="4">
        <v>0.1592375414864651</v>
      </c>
      <c r="K2528" s="4">
        <v>0.1592375414864651</v>
      </c>
      <c r="L2528" s="4">
        <v>0.1592375414864651</v>
      </c>
      <c r="M2528" s="4">
        <v>0.1592375414864651</v>
      </c>
      <c r="N2528" t="s">
        <v>333</v>
      </c>
      <c r="O2528" t="s">
        <v>668</v>
      </c>
      <c r="P2528" t="s">
        <v>667</v>
      </c>
      <c r="Q2528" t="s">
        <v>245</v>
      </c>
    </row>
    <row r="2529" spans="1:18" x14ac:dyDescent="0.25">
      <c r="A2529" t="s">
        <v>667</v>
      </c>
      <c r="B2529" t="s">
        <v>85</v>
      </c>
      <c r="C2529" s="4">
        <v>8.3812042533297822E-3</v>
      </c>
      <c r="D2529" s="4">
        <v>8.3812042533297822E-3</v>
      </c>
      <c r="E2529" s="4">
        <v>8.3812042533297822E-3</v>
      </c>
      <c r="F2529" s="4">
        <v>8.3812042533297822E-3</v>
      </c>
      <c r="G2529" s="4">
        <v>8.3812042533297822E-3</v>
      </c>
      <c r="H2529" s="4">
        <v>8.3812042533297822E-3</v>
      </c>
      <c r="I2529" s="4">
        <v>8.3812042533297822E-3</v>
      </c>
      <c r="J2529" s="4">
        <v>8.3812042533297822E-3</v>
      </c>
      <c r="K2529" s="4">
        <v>8.3812042533297822E-3</v>
      </c>
      <c r="L2529" s="4">
        <v>8.3812042533297822E-3</v>
      </c>
      <c r="M2529" s="4">
        <v>8.3812042533297822E-3</v>
      </c>
      <c r="N2529" t="s">
        <v>256</v>
      </c>
      <c r="O2529" t="s">
        <v>668</v>
      </c>
      <c r="P2529" t="s">
        <v>667</v>
      </c>
      <c r="Q2529" t="s">
        <v>245</v>
      </c>
    </row>
    <row r="2530" spans="1:18" x14ac:dyDescent="0.25">
      <c r="A2530" t="s">
        <v>667</v>
      </c>
      <c r="B2530" t="s">
        <v>116</v>
      </c>
      <c r="C2530" s="4">
        <v>0.29308400135952639</v>
      </c>
      <c r="D2530" s="4">
        <v>0.29308400135952639</v>
      </c>
      <c r="E2530" s="4">
        <v>0.29308400135952639</v>
      </c>
      <c r="F2530" s="4">
        <v>0.29308400135952639</v>
      </c>
      <c r="G2530" s="4">
        <v>0.29308400135952639</v>
      </c>
      <c r="H2530" s="4">
        <v>0.29308400135952639</v>
      </c>
      <c r="I2530" s="4">
        <v>0.29308400135952639</v>
      </c>
      <c r="J2530" s="4">
        <v>0.29308400135952639</v>
      </c>
      <c r="K2530" s="4">
        <v>0.29308400135952639</v>
      </c>
      <c r="L2530" s="4">
        <v>0.29308400135952639</v>
      </c>
      <c r="M2530" s="4">
        <v>0.29308400135952639</v>
      </c>
      <c r="N2530" t="s">
        <v>256</v>
      </c>
      <c r="O2530" t="s">
        <v>668</v>
      </c>
      <c r="P2530" t="s">
        <v>667</v>
      </c>
      <c r="Q2530" t="s">
        <v>245</v>
      </c>
    </row>
    <row r="2531" spans="1:18" x14ac:dyDescent="0.25">
      <c r="A2531" t="s">
        <v>667</v>
      </c>
      <c r="B2531" t="s">
        <v>145</v>
      </c>
      <c r="C2531" s="4">
        <v>2.527863720424341E-2</v>
      </c>
      <c r="D2531" s="4">
        <v>2.527863720424341E-2</v>
      </c>
      <c r="E2531" s="4">
        <v>2.527863720424341E-2</v>
      </c>
      <c r="F2531" s="4">
        <v>2.527863720424341E-2</v>
      </c>
      <c r="G2531" s="4">
        <v>2.527863720424341E-2</v>
      </c>
      <c r="H2531" s="4">
        <v>2.527863720424341E-2</v>
      </c>
      <c r="I2531" s="4">
        <v>2.527863720424341E-2</v>
      </c>
      <c r="J2531" s="4">
        <v>2.527863720424341E-2</v>
      </c>
      <c r="K2531" s="4">
        <v>2.527863720424341E-2</v>
      </c>
      <c r="L2531" s="4">
        <v>2.527863720424341E-2</v>
      </c>
      <c r="M2531" s="4">
        <v>2.527863720424341E-2</v>
      </c>
      <c r="N2531" t="s">
        <v>256</v>
      </c>
      <c r="O2531" t="s">
        <v>668</v>
      </c>
      <c r="P2531" t="s">
        <v>667</v>
      </c>
      <c r="Q2531" t="s">
        <v>245</v>
      </c>
    </row>
    <row r="2532" spans="1:18" x14ac:dyDescent="0.25">
      <c r="A2532" t="s">
        <v>667</v>
      </c>
      <c r="B2532" t="s">
        <v>86</v>
      </c>
      <c r="C2532" s="4">
        <v>0.13496563569820286</v>
      </c>
      <c r="D2532" s="4">
        <v>0.13496563569820286</v>
      </c>
      <c r="E2532" s="4">
        <v>0.13496563569820286</v>
      </c>
      <c r="F2532" s="4">
        <v>0.13496563569820286</v>
      </c>
      <c r="G2532" s="4">
        <v>0.13496563569820286</v>
      </c>
      <c r="H2532" s="4">
        <v>0.13496563569820286</v>
      </c>
      <c r="I2532" s="4">
        <v>0.13496563569820286</v>
      </c>
      <c r="J2532" s="4">
        <v>0.13496563569820286</v>
      </c>
      <c r="K2532" s="4">
        <v>0.13496563569820286</v>
      </c>
      <c r="L2532" s="4">
        <v>0.13496563569820286</v>
      </c>
      <c r="M2532" s="4">
        <v>0.13496563569820286</v>
      </c>
      <c r="N2532" t="s">
        <v>256</v>
      </c>
      <c r="O2532" t="s">
        <v>668</v>
      </c>
      <c r="P2532" t="s">
        <v>667</v>
      </c>
      <c r="Q2532" t="s">
        <v>245</v>
      </c>
    </row>
    <row r="2533" spans="1:18" x14ac:dyDescent="0.25">
      <c r="A2533" t="s">
        <v>667</v>
      </c>
      <c r="B2533" t="s">
        <v>117</v>
      </c>
      <c r="C2533" s="4">
        <v>7.1567564575218706E-2</v>
      </c>
      <c r="D2533" s="4">
        <v>7.1567564575218706E-2</v>
      </c>
      <c r="E2533" s="4">
        <v>7.1567564575218706E-2</v>
      </c>
      <c r="F2533" s="4">
        <v>7.1567564575218706E-2</v>
      </c>
      <c r="G2533" s="4">
        <v>7.1567564575218706E-2</v>
      </c>
      <c r="H2533" s="4">
        <v>7.1567564575218706E-2</v>
      </c>
      <c r="I2533" s="4">
        <v>7.1567564575218706E-2</v>
      </c>
      <c r="J2533" s="4">
        <v>7.1567564575218706E-2</v>
      </c>
      <c r="K2533" s="4">
        <v>7.1567564575218706E-2</v>
      </c>
      <c r="L2533" s="4">
        <v>7.1567564575218706E-2</v>
      </c>
      <c r="M2533" s="4">
        <v>7.1567564575218706E-2</v>
      </c>
      <c r="N2533" t="s">
        <v>333</v>
      </c>
      <c r="O2533" t="s">
        <v>668</v>
      </c>
      <c r="P2533" t="s">
        <v>667</v>
      </c>
      <c r="Q2533" t="s">
        <v>245</v>
      </c>
    </row>
    <row r="2534" spans="1:18" x14ac:dyDescent="0.25">
      <c r="A2534" t="s">
        <v>667</v>
      </c>
      <c r="B2534" t="s">
        <v>222</v>
      </c>
      <c r="C2534" s="4">
        <v>5.2444943289108571E-2</v>
      </c>
      <c r="D2534" s="4">
        <v>5.2444943289108571E-2</v>
      </c>
      <c r="E2534" s="4">
        <v>5.2444943289108571E-2</v>
      </c>
      <c r="F2534" s="4">
        <v>5.2444943289108571E-2</v>
      </c>
      <c r="G2534" s="4">
        <v>5.2444943289108571E-2</v>
      </c>
      <c r="H2534" s="4">
        <v>5.2444943289108571E-2</v>
      </c>
      <c r="I2534" s="4">
        <v>5.2444943289108571E-2</v>
      </c>
      <c r="J2534" s="4">
        <v>5.2444943289108571E-2</v>
      </c>
      <c r="K2534" s="4">
        <v>5.2444943289108571E-2</v>
      </c>
      <c r="L2534" s="4">
        <v>5.2444943289108571E-2</v>
      </c>
      <c r="M2534" s="4">
        <v>5.2444943289108571E-2</v>
      </c>
      <c r="N2534" t="s">
        <v>256</v>
      </c>
      <c r="O2534" t="s">
        <v>668</v>
      </c>
      <c r="P2534" t="s">
        <v>667</v>
      </c>
      <c r="Q2534" t="s">
        <v>245</v>
      </c>
    </row>
    <row r="2535" spans="1:18" x14ac:dyDescent="0.25">
      <c r="A2535" t="s">
        <v>667</v>
      </c>
      <c r="B2535" t="s">
        <v>223</v>
      </c>
      <c r="C2535" s="4">
        <v>3.3539744585081542E-2</v>
      </c>
      <c r="D2535" s="4">
        <v>3.3539744585081542E-2</v>
      </c>
      <c r="E2535" s="4">
        <v>3.3539744585081542E-2</v>
      </c>
      <c r="F2535" s="4">
        <v>3.3539744585081542E-2</v>
      </c>
      <c r="G2535" s="4">
        <v>3.3539744585081542E-2</v>
      </c>
      <c r="H2535" s="4">
        <v>3.3539744585081542E-2</v>
      </c>
      <c r="I2535" s="4">
        <v>3.3539744585081542E-2</v>
      </c>
      <c r="J2535" s="4">
        <v>3.3539744585081542E-2</v>
      </c>
      <c r="K2535" s="4">
        <v>3.3539744585081542E-2</v>
      </c>
      <c r="L2535" s="4">
        <v>3.3539744585081542E-2</v>
      </c>
      <c r="M2535" s="4">
        <v>3.3539744585081542E-2</v>
      </c>
      <c r="N2535" t="s">
        <v>256</v>
      </c>
      <c r="O2535" t="s">
        <v>668</v>
      </c>
      <c r="P2535" t="s">
        <v>667</v>
      </c>
      <c r="Q2535" t="s">
        <v>245</v>
      </c>
    </row>
    <row r="2536" spans="1:18" x14ac:dyDescent="0.25">
      <c r="A2536" t="s">
        <v>667</v>
      </c>
      <c r="B2536" t="s">
        <v>171</v>
      </c>
      <c r="C2536" s="4">
        <v>9.1890671866016044E-3</v>
      </c>
      <c r="D2536" s="4">
        <v>9.1890671866016044E-3</v>
      </c>
      <c r="E2536" s="4">
        <v>9.1890671866016044E-3</v>
      </c>
      <c r="F2536" s="4">
        <v>9.1890671866016044E-3</v>
      </c>
      <c r="G2536" s="4">
        <v>9.1890671866016044E-3</v>
      </c>
      <c r="H2536" s="4">
        <v>9.1890671866016044E-3</v>
      </c>
      <c r="I2536" s="4">
        <v>9.1890671866016044E-3</v>
      </c>
      <c r="J2536" s="4">
        <v>9.1890671866016044E-3</v>
      </c>
      <c r="K2536" s="4">
        <v>9.1890671866016044E-3</v>
      </c>
      <c r="L2536" s="4">
        <v>9.1890671866016044E-3</v>
      </c>
      <c r="M2536" s="4">
        <v>9.1890671866016044E-3</v>
      </c>
      <c r="N2536" t="s">
        <v>256</v>
      </c>
      <c r="O2536" t="s">
        <v>668</v>
      </c>
      <c r="P2536" t="s">
        <v>667</v>
      </c>
      <c r="Q2536" t="s">
        <v>245</v>
      </c>
    </row>
    <row r="2537" spans="1:18" x14ac:dyDescent="0.25">
      <c r="A2537" t="s">
        <v>667</v>
      </c>
      <c r="B2537" t="s">
        <v>107</v>
      </c>
      <c r="C2537" s="4">
        <v>0.16690314117888461</v>
      </c>
      <c r="D2537" s="4">
        <v>0.16690314117888461</v>
      </c>
      <c r="E2537" s="4">
        <v>0.16690314117888461</v>
      </c>
      <c r="F2537" s="4">
        <v>0.16690314117888461</v>
      </c>
      <c r="G2537" s="4">
        <v>0.16690314117888461</v>
      </c>
      <c r="H2537" s="4">
        <v>0.16690314117888461</v>
      </c>
      <c r="I2537" s="4">
        <v>0.16690314117888461</v>
      </c>
      <c r="J2537" s="4">
        <v>0.16690314117888461</v>
      </c>
      <c r="K2537" s="4">
        <v>0.16690314117888461</v>
      </c>
      <c r="L2537" s="4">
        <v>0.16690314117888461</v>
      </c>
      <c r="M2537" s="4">
        <v>0.16690314117888461</v>
      </c>
      <c r="N2537" t="s">
        <v>333</v>
      </c>
      <c r="O2537" t="s">
        <v>668</v>
      </c>
      <c r="P2537" t="s">
        <v>667</v>
      </c>
      <c r="Q2537" t="s">
        <v>245</v>
      </c>
    </row>
    <row r="2538" spans="1:18" x14ac:dyDescent="0.25">
      <c r="A2538" t="s">
        <v>667</v>
      </c>
      <c r="B2538" t="s">
        <v>121</v>
      </c>
      <c r="C2538" s="4">
        <v>1.3681303296984313E-2</v>
      </c>
      <c r="D2538" s="4">
        <v>1.3681303296984313E-2</v>
      </c>
      <c r="E2538" s="4">
        <v>1.3681303296984313E-2</v>
      </c>
      <c r="F2538" s="4">
        <v>1.3681303296984313E-2</v>
      </c>
      <c r="G2538" s="4">
        <v>1.3681303296984313E-2</v>
      </c>
      <c r="H2538" s="4">
        <v>1.3681303296984313E-2</v>
      </c>
      <c r="I2538" s="4">
        <v>1.3681303296984313E-2</v>
      </c>
      <c r="J2538" s="4">
        <v>1.3681303296984313E-2</v>
      </c>
      <c r="K2538" s="4">
        <v>1.3681303296984313E-2</v>
      </c>
      <c r="L2538" s="4">
        <v>1.3681303296984313E-2</v>
      </c>
      <c r="M2538" s="4">
        <v>1.3681303296984313E-2</v>
      </c>
      <c r="N2538" t="s">
        <v>333</v>
      </c>
      <c r="O2538" t="s">
        <v>668</v>
      </c>
      <c r="P2538" t="s">
        <v>667</v>
      </c>
      <c r="Q2538" t="s">
        <v>245</v>
      </c>
    </row>
    <row r="2539" spans="1:18" x14ac:dyDescent="0.25">
      <c r="A2539" t="s">
        <v>667</v>
      </c>
      <c r="B2539" t="s">
        <v>113</v>
      </c>
      <c r="C2539" s="4">
        <v>1.5706785127550478E-2</v>
      </c>
      <c r="D2539" s="4">
        <v>1.5706785127550478E-2</v>
      </c>
      <c r="E2539" s="4">
        <v>1.5706785127550478E-2</v>
      </c>
      <c r="F2539" s="4">
        <v>1.5706785127550478E-2</v>
      </c>
      <c r="G2539" s="4">
        <v>1.5706785127550478E-2</v>
      </c>
      <c r="H2539" s="4">
        <v>1.5706785127550478E-2</v>
      </c>
      <c r="I2539" s="4">
        <v>1.5706785127550478E-2</v>
      </c>
      <c r="J2539" s="4">
        <v>1.5706785127550478E-2</v>
      </c>
      <c r="K2539" s="4">
        <v>1.5706785127550478E-2</v>
      </c>
      <c r="L2539" s="4">
        <v>1.5706785127550478E-2</v>
      </c>
      <c r="M2539" s="4">
        <v>1.5706785127550478E-2</v>
      </c>
      <c r="N2539" t="s">
        <v>256</v>
      </c>
      <c r="O2539" t="s">
        <v>668</v>
      </c>
      <c r="P2539" t="s">
        <v>667</v>
      </c>
      <c r="Q2539" t="s">
        <v>245</v>
      </c>
    </row>
    <row r="2540" spans="1:18" x14ac:dyDescent="0.25">
      <c r="A2540" t="s">
        <v>667</v>
      </c>
      <c r="B2540" t="s">
        <v>140</v>
      </c>
      <c r="C2540" s="4">
        <v>1.6020430758802655E-2</v>
      </c>
      <c r="D2540" s="4">
        <v>1.6020430758802655E-2</v>
      </c>
      <c r="E2540" s="4">
        <v>1.6020430758802655E-2</v>
      </c>
      <c r="F2540" s="4">
        <v>1.6020430758802655E-2</v>
      </c>
      <c r="G2540" s="4">
        <v>1.6020430758802655E-2</v>
      </c>
      <c r="H2540" s="4">
        <v>1.6020430758802655E-2</v>
      </c>
      <c r="I2540" s="4">
        <v>1.6020430758802655E-2</v>
      </c>
      <c r="J2540" s="4">
        <v>1.6020430758802655E-2</v>
      </c>
      <c r="K2540" s="4">
        <v>1.6020430758802655E-2</v>
      </c>
      <c r="L2540" s="4">
        <v>1.6020430758802655E-2</v>
      </c>
      <c r="M2540" s="4">
        <v>1.6020430758802655E-2</v>
      </c>
      <c r="N2540" t="s">
        <v>333</v>
      </c>
      <c r="O2540" t="s">
        <v>668</v>
      </c>
      <c r="P2540" t="s">
        <v>667</v>
      </c>
      <c r="Q2540" t="s">
        <v>245</v>
      </c>
    </row>
    <row r="2541" spans="1:18" x14ac:dyDescent="0.25">
      <c r="A2541" t="s">
        <v>426</v>
      </c>
      <c r="B2541" t="s">
        <v>83</v>
      </c>
      <c r="C2541" s="4">
        <v>6.9570179147803057E-2</v>
      </c>
      <c r="D2541" s="4">
        <v>6.9570179147803057E-2</v>
      </c>
      <c r="E2541" s="4">
        <v>6.9570179147803057E-2</v>
      </c>
      <c r="F2541" s="4">
        <v>6.9570179147803057E-2</v>
      </c>
      <c r="G2541" s="4">
        <v>6.9570179147803057E-2</v>
      </c>
      <c r="H2541" s="4">
        <v>6.9570179147803057E-2</v>
      </c>
      <c r="I2541" s="4">
        <v>6.9570179147803057E-2</v>
      </c>
      <c r="J2541" s="4">
        <v>6.9570179147803057E-2</v>
      </c>
      <c r="K2541" s="4">
        <v>6.9570179147803057E-2</v>
      </c>
      <c r="L2541" s="4">
        <v>6.9570179147803057E-2</v>
      </c>
      <c r="M2541" s="4">
        <v>6.9570179147803057E-2</v>
      </c>
      <c r="N2541" t="s">
        <v>254</v>
      </c>
      <c r="O2541" t="s">
        <v>428</v>
      </c>
      <c r="P2541" t="s">
        <v>426</v>
      </c>
      <c r="Q2541" t="s">
        <v>245</v>
      </c>
      <c r="R2541" t="s">
        <v>427</v>
      </c>
    </row>
    <row r="2542" spans="1:18" x14ac:dyDescent="0.25">
      <c r="A2542" t="s">
        <v>426</v>
      </c>
      <c r="B2542" t="s">
        <v>187</v>
      </c>
      <c r="C2542" s="4">
        <v>8.6529058253647685E-4</v>
      </c>
      <c r="D2542" s="4">
        <v>8.6529058253647685E-4</v>
      </c>
      <c r="E2542" s="4">
        <v>8.6529058253647685E-4</v>
      </c>
      <c r="F2542" s="4">
        <v>8.6529058253647685E-4</v>
      </c>
      <c r="G2542" s="4">
        <v>8.6529058253647685E-4</v>
      </c>
      <c r="H2542" s="4">
        <v>8.6529058253647685E-4</v>
      </c>
      <c r="I2542" s="4">
        <v>8.6529058253647685E-4</v>
      </c>
      <c r="J2542" s="4">
        <v>8.6529058253647685E-4</v>
      </c>
      <c r="K2542" s="4">
        <v>8.6529058253647685E-4</v>
      </c>
      <c r="L2542" s="4">
        <v>8.6529058253647685E-4</v>
      </c>
      <c r="M2542" s="4">
        <v>8.6529058253647685E-4</v>
      </c>
      <c r="N2542" t="s">
        <v>254</v>
      </c>
      <c r="O2542" t="s">
        <v>428</v>
      </c>
      <c r="P2542" t="s">
        <v>426</v>
      </c>
      <c r="Q2542" t="s">
        <v>245</v>
      </c>
      <c r="R2542" t="s">
        <v>573</v>
      </c>
    </row>
    <row r="2543" spans="1:18" x14ac:dyDescent="0.25">
      <c r="A2543" t="s">
        <v>426</v>
      </c>
      <c r="B2543" t="s">
        <v>86</v>
      </c>
      <c r="C2543" s="4">
        <v>0.70202820847299074</v>
      </c>
      <c r="D2543" s="4">
        <v>0.70202820847299074</v>
      </c>
      <c r="E2543" s="4">
        <v>0.70202820847299074</v>
      </c>
      <c r="F2543" s="4">
        <v>0.70202820847299074</v>
      </c>
      <c r="G2543" s="4">
        <v>0.70202820847299074</v>
      </c>
      <c r="H2543" s="4">
        <v>0.70202820847299074</v>
      </c>
      <c r="I2543" s="4">
        <v>0.70202820847299074</v>
      </c>
      <c r="J2543" s="4">
        <v>0.70202820847299074</v>
      </c>
      <c r="K2543" s="4">
        <v>0.70202820847299074</v>
      </c>
      <c r="L2543" s="4">
        <v>0.70202820847299074</v>
      </c>
      <c r="M2543" s="4">
        <v>0.70202820847299074</v>
      </c>
      <c r="N2543" t="s">
        <v>254</v>
      </c>
      <c r="O2543" t="s">
        <v>428</v>
      </c>
      <c r="P2543" t="s">
        <v>426</v>
      </c>
      <c r="Q2543" t="s">
        <v>245</v>
      </c>
    </row>
    <row r="2544" spans="1:18" x14ac:dyDescent="0.25">
      <c r="A2544" t="s">
        <v>426</v>
      </c>
      <c r="B2544" t="s">
        <v>97</v>
      </c>
      <c r="C2544" s="4">
        <v>1.5949917634132289E-2</v>
      </c>
      <c r="D2544" s="4">
        <v>1.5949917634132289E-2</v>
      </c>
      <c r="E2544" s="4">
        <v>1.5949917634132289E-2</v>
      </c>
      <c r="F2544" s="4">
        <v>1.5949917634132289E-2</v>
      </c>
      <c r="G2544" s="4">
        <v>1.5949917634132289E-2</v>
      </c>
      <c r="H2544" s="4">
        <v>1.5949917634132289E-2</v>
      </c>
      <c r="I2544" s="4">
        <v>1.5949917634132289E-2</v>
      </c>
      <c r="J2544" s="4">
        <v>1.5949917634132289E-2</v>
      </c>
      <c r="K2544" s="4">
        <v>1.5949917634132289E-2</v>
      </c>
      <c r="L2544" s="4">
        <v>1.5949917634132289E-2</v>
      </c>
      <c r="M2544" s="4">
        <v>1.5949917634132289E-2</v>
      </c>
      <c r="N2544" t="s">
        <v>254</v>
      </c>
      <c r="O2544" t="s">
        <v>428</v>
      </c>
      <c r="P2544" t="s">
        <v>426</v>
      </c>
      <c r="Q2544" t="s">
        <v>245</v>
      </c>
    </row>
    <row r="2545" spans="1:17" x14ac:dyDescent="0.25">
      <c r="A2545" t="s">
        <v>426</v>
      </c>
      <c r="B2545" t="s">
        <v>141</v>
      </c>
      <c r="C2545" s="4">
        <v>9.3875865086504567E-3</v>
      </c>
      <c r="D2545" s="4">
        <v>9.3875865086504567E-3</v>
      </c>
      <c r="E2545" s="4">
        <v>9.3875865086504567E-3</v>
      </c>
      <c r="F2545" s="4">
        <v>9.3875865086504567E-3</v>
      </c>
      <c r="G2545" s="4">
        <v>9.3875865086504567E-3</v>
      </c>
      <c r="H2545" s="4">
        <v>9.3875865086504567E-3</v>
      </c>
      <c r="I2545" s="4">
        <v>9.3875865086504567E-3</v>
      </c>
      <c r="J2545" s="4">
        <v>9.3875865086504567E-3</v>
      </c>
      <c r="K2545" s="4">
        <v>9.3875865086504567E-3</v>
      </c>
      <c r="L2545" s="4">
        <v>9.3875865086504567E-3</v>
      </c>
      <c r="M2545" s="4">
        <v>9.3875865086504567E-3</v>
      </c>
      <c r="N2545" t="s">
        <v>254</v>
      </c>
      <c r="O2545" t="s">
        <v>428</v>
      </c>
      <c r="P2545" t="s">
        <v>426</v>
      </c>
      <c r="Q2545" t="s">
        <v>245</v>
      </c>
    </row>
    <row r="2546" spans="1:17" x14ac:dyDescent="0.25">
      <c r="A2546" t="s">
        <v>426</v>
      </c>
      <c r="B2546" t="s">
        <v>103</v>
      </c>
      <c r="C2546" s="4">
        <v>1.0799806044299611E-3</v>
      </c>
      <c r="D2546" s="4">
        <v>1.0799806044299611E-3</v>
      </c>
      <c r="E2546" s="4">
        <v>1.0799806044299611E-3</v>
      </c>
      <c r="F2546" s="4">
        <v>1.0799806044299611E-3</v>
      </c>
      <c r="G2546" s="4">
        <v>1.0799806044299611E-3</v>
      </c>
      <c r="H2546" s="4">
        <v>1.0799806044299611E-3</v>
      </c>
      <c r="I2546" s="4">
        <v>1.0799806044299611E-3</v>
      </c>
      <c r="J2546" s="4">
        <v>1.0799806044299611E-3</v>
      </c>
      <c r="K2546" s="4">
        <v>1.0799806044299611E-3</v>
      </c>
      <c r="L2546" s="4">
        <v>1.0799806044299611E-3</v>
      </c>
      <c r="M2546" s="4">
        <v>1.0799806044299611E-3</v>
      </c>
      <c r="N2546" t="s">
        <v>254</v>
      </c>
      <c r="O2546" t="s">
        <v>428</v>
      </c>
      <c r="P2546" t="s">
        <v>426</v>
      </c>
      <c r="Q2546" t="s">
        <v>245</v>
      </c>
    </row>
    <row r="2547" spans="1:17" x14ac:dyDescent="0.25">
      <c r="A2547" t="s">
        <v>426</v>
      </c>
      <c r="B2547" t="s">
        <v>174</v>
      </c>
      <c r="C2547" s="4">
        <v>0.1257120280288844</v>
      </c>
      <c r="D2547" s="4">
        <v>0.1257120280288844</v>
      </c>
      <c r="E2547" s="4">
        <v>0.1257120280288844</v>
      </c>
      <c r="F2547" s="4">
        <v>0.1257120280288844</v>
      </c>
      <c r="G2547" s="4">
        <v>0.1257120280288844</v>
      </c>
      <c r="H2547" s="4">
        <v>0.1257120280288844</v>
      </c>
      <c r="I2547" s="4">
        <v>0.1257120280288844</v>
      </c>
      <c r="J2547" s="4">
        <v>0.1257120280288844</v>
      </c>
      <c r="K2547" s="4">
        <v>0.1257120280288844</v>
      </c>
      <c r="L2547" s="4">
        <v>0.1257120280288844</v>
      </c>
      <c r="M2547" s="4">
        <v>0.1257120280288844</v>
      </c>
      <c r="N2547" t="s">
        <v>254</v>
      </c>
      <c r="O2547" t="s">
        <v>428</v>
      </c>
      <c r="P2547" t="s">
        <v>426</v>
      </c>
      <c r="Q2547" t="s">
        <v>245</v>
      </c>
    </row>
    <row r="2548" spans="1:17" x14ac:dyDescent="0.25">
      <c r="A2548" t="s">
        <v>426</v>
      </c>
      <c r="B2548" t="s">
        <v>107</v>
      </c>
      <c r="C2548" s="4">
        <v>1.0330426718867089E-2</v>
      </c>
      <c r="D2548" s="4">
        <v>1.0330426718867089E-2</v>
      </c>
      <c r="E2548" s="4">
        <v>1.0330426718867089E-2</v>
      </c>
      <c r="F2548" s="4">
        <v>1.0330426718867089E-2</v>
      </c>
      <c r="G2548" s="4">
        <v>1.0330426718867089E-2</v>
      </c>
      <c r="H2548" s="4">
        <v>1.0330426718867089E-2</v>
      </c>
      <c r="I2548" s="4">
        <v>1.0330426718867089E-2</v>
      </c>
      <c r="J2548" s="4">
        <v>1.0330426718867089E-2</v>
      </c>
      <c r="K2548" s="4">
        <v>1.0330426718867089E-2</v>
      </c>
      <c r="L2548" s="4">
        <v>1.0330426718867089E-2</v>
      </c>
      <c r="M2548" s="4">
        <v>1.0330426718867089E-2</v>
      </c>
      <c r="N2548" t="s">
        <v>254</v>
      </c>
      <c r="O2548" t="s">
        <v>428</v>
      </c>
      <c r="P2548" t="s">
        <v>426</v>
      </c>
      <c r="Q2548" t="s">
        <v>245</v>
      </c>
    </row>
    <row r="2549" spans="1:17" x14ac:dyDescent="0.25">
      <c r="A2549" t="s">
        <v>426</v>
      </c>
      <c r="B2549" t="s">
        <v>113</v>
      </c>
      <c r="C2549" s="4">
        <v>6.2202964518188242E-2</v>
      </c>
      <c r="D2549" s="4">
        <v>6.2202964518188242E-2</v>
      </c>
      <c r="E2549" s="4">
        <v>6.2202964518188242E-2</v>
      </c>
      <c r="F2549" s="4">
        <v>6.2202964518188242E-2</v>
      </c>
      <c r="G2549" s="4">
        <v>6.2202964518188242E-2</v>
      </c>
      <c r="H2549" s="4">
        <v>6.2202964518188242E-2</v>
      </c>
      <c r="I2549" s="4">
        <v>6.2202964518188242E-2</v>
      </c>
      <c r="J2549" s="4">
        <v>6.2202964518188242E-2</v>
      </c>
      <c r="K2549" s="4">
        <v>6.2202964518188242E-2</v>
      </c>
      <c r="L2549" s="4">
        <v>6.2202964518188242E-2</v>
      </c>
      <c r="M2549" s="4">
        <v>6.2202964518188242E-2</v>
      </c>
      <c r="N2549" t="s">
        <v>254</v>
      </c>
      <c r="O2549" t="s">
        <v>428</v>
      </c>
      <c r="P2549" t="s">
        <v>426</v>
      </c>
      <c r="Q2549" t="s">
        <v>245</v>
      </c>
    </row>
    <row r="2550" spans="1:17" x14ac:dyDescent="0.25">
      <c r="A2550" t="s">
        <v>426</v>
      </c>
      <c r="B2550" t="s">
        <v>115</v>
      </c>
      <c r="C2550" s="4">
        <v>2.873417783517357E-3</v>
      </c>
      <c r="D2550" s="4">
        <v>2.873417783517357E-3</v>
      </c>
      <c r="E2550" s="4">
        <v>2.873417783517357E-3</v>
      </c>
      <c r="F2550" s="4">
        <v>2.873417783517357E-3</v>
      </c>
      <c r="G2550" s="4">
        <v>2.873417783517357E-3</v>
      </c>
      <c r="H2550" s="4">
        <v>2.873417783517357E-3</v>
      </c>
      <c r="I2550" s="4">
        <v>2.873417783517357E-3</v>
      </c>
      <c r="J2550" s="4">
        <v>2.873417783517357E-3</v>
      </c>
      <c r="K2550" s="4">
        <v>2.873417783517357E-3</v>
      </c>
      <c r="L2550" s="4">
        <v>2.873417783517357E-3</v>
      </c>
      <c r="M2550" s="4">
        <v>2.873417783517357E-3</v>
      </c>
      <c r="N2550" t="s">
        <v>254</v>
      </c>
      <c r="O2550" t="s">
        <v>428</v>
      </c>
      <c r="P2550" t="s">
        <v>426</v>
      </c>
      <c r="Q2550" t="s">
        <v>245</v>
      </c>
    </row>
    <row r="2551" spans="1:17" x14ac:dyDescent="0.25">
      <c r="A2551" t="s">
        <v>718</v>
      </c>
      <c r="B2551" t="s">
        <v>86</v>
      </c>
      <c r="C2551" s="4">
        <v>1</v>
      </c>
      <c r="D2551" s="4">
        <v>1</v>
      </c>
      <c r="E2551" s="4">
        <v>1</v>
      </c>
      <c r="F2551" s="4">
        <v>1</v>
      </c>
      <c r="G2551" s="4">
        <v>1</v>
      </c>
      <c r="H2551" s="4">
        <v>1</v>
      </c>
      <c r="I2551" s="4">
        <v>1</v>
      </c>
      <c r="J2551" s="4">
        <v>1</v>
      </c>
      <c r="K2551" s="4">
        <v>1</v>
      </c>
      <c r="L2551" s="4">
        <v>1</v>
      </c>
      <c r="M2551" s="4">
        <v>1</v>
      </c>
      <c r="N2551" t="s">
        <v>720</v>
      </c>
      <c r="O2551" t="s">
        <v>719</v>
      </c>
      <c r="P2551" t="s">
        <v>718</v>
      </c>
      <c r="Q2551" t="s">
        <v>245</v>
      </c>
    </row>
    <row r="2552" spans="1:17" x14ac:dyDescent="0.25">
      <c r="A2552" t="s">
        <v>721</v>
      </c>
      <c r="B2552" t="s">
        <v>86</v>
      </c>
      <c r="C2552" s="4">
        <v>1</v>
      </c>
      <c r="D2552" s="4">
        <v>1</v>
      </c>
      <c r="E2552" s="4">
        <v>1</v>
      </c>
      <c r="F2552" s="4">
        <v>1</v>
      </c>
      <c r="G2552" s="4">
        <v>1</v>
      </c>
      <c r="H2552" s="4">
        <v>1</v>
      </c>
      <c r="I2552" s="4">
        <v>1</v>
      </c>
      <c r="J2552" s="4">
        <v>1</v>
      </c>
      <c r="K2552" s="4">
        <v>1</v>
      </c>
      <c r="L2552" s="4">
        <v>1</v>
      </c>
      <c r="M2552" s="4">
        <v>1</v>
      </c>
      <c r="N2552" t="s">
        <v>720</v>
      </c>
      <c r="O2552" t="s">
        <v>719</v>
      </c>
      <c r="P2552" t="s">
        <v>721</v>
      </c>
      <c r="Q2552" t="s">
        <v>245</v>
      </c>
    </row>
    <row r="2553" spans="1:17" x14ac:dyDescent="0.25">
      <c r="A2553" t="s">
        <v>722</v>
      </c>
      <c r="B2553" t="s">
        <v>86</v>
      </c>
      <c r="C2553" s="4">
        <v>1</v>
      </c>
      <c r="D2553" s="4">
        <v>1</v>
      </c>
      <c r="E2553" s="4">
        <v>1</v>
      </c>
      <c r="F2553" s="4">
        <v>1</v>
      </c>
      <c r="G2553" s="4">
        <v>1</v>
      </c>
      <c r="H2553" s="4">
        <v>1</v>
      </c>
      <c r="I2553" s="4">
        <v>1</v>
      </c>
      <c r="J2553" s="4">
        <v>1</v>
      </c>
      <c r="K2553" s="4">
        <v>1</v>
      </c>
      <c r="L2553" s="4">
        <v>1</v>
      </c>
      <c r="M2553" s="4">
        <v>1</v>
      </c>
      <c r="N2553" t="s">
        <v>720</v>
      </c>
      <c r="O2553" t="s">
        <v>719</v>
      </c>
      <c r="P2553" t="s">
        <v>722</v>
      </c>
      <c r="Q2553" t="s">
        <v>245</v>
      </c>
    </row>
    <row r="2554" spans="1:17" x14ac:dyDescent="0.25">
      <c r="A2554" t="s">
        <v>723</v>
      </c>
      <c r="B2554" t="s">
        <v>86</v>
      </c>
      <c r="C2554" s="4">
        <v>1</v>
      </c>
      <c r="D2554" s="4">
        <v>1</v>
      </c>
      <c r="E2554" s="4">
        <v>1</v>
      </c>
      <c r="F2554" s="4">
        <v>1</v>
      </c>
      <c r="G2554" s="4">
        <v>1</v>
      </c>
      <c r="H2554" s="4">
        <v>1</v>
      </c>
      <c r="I2554" s="4">
        <v>1</v>
      </c>
      <c r="J2554" s="4">
        <v>1</v>
      </c>
      <c r="K2554" s="4">
        <v>1</v>
      </c>
      <c r="L2554" s="4">
        <v>1</v>
      </c>
      <c r="M2554" s="4">
        <v>1</v>
      </c>
      <c r="N2554" t="s">
        <v>720</v>
      </c>
      <c r="O2554" t="s">
        <v>719</v>
      </c>
      <c r="P2554" t="s">
        <v>723</v>
      </c>
      <c r="Q2554" t="s">
        <v>245</v>
      </c>
    </row>
    <row r="2555" spans="1:17" x14ac:dyDescent="0.25">
      <c r="A2555" t="s">
        <v>724</v>
      </c>
      <c r="B2555" t="s">
        <v>86</v>
      </c>
      <c r="C2555" s="4">
        <v>1</v>
      </c>
      <c r="D2555" s="4">
        <v>1</v>
      </c>
      <c r="E2555" s="4">
        <v>1</v>
      </c>
      <c r="F2555" s="4">
        <v>1</v>
      </c>
      <c r="G2555" s="4">
        <v>1</v>
      </c>
      <c r="H2555" s="4">
        <v>1</v>
      </c>
      <c r="I2555" s="4">
        <v>1</v>
      </c>
      <c r="J2555" s="4">
        <v>1</v>
      </c>
      <c r="K2555" s="4">
        <v>1</v>
      </c>
      <c r="L2555" s="4">
        <v>1</v>
      </c>
      <c r="M2555" s="4">
        <v>1</v>
      </c>
      <c r="N2555" t="s">
        <v>720</v>
      </c>
      <c r="O2555" t="s">
        <v>719</v>
      </c>
      <c r="P2555" t="s">
        <v>724</v>
      </c>
      <c r="Q2555" t="s">
        <v>245</v>
      </c>
    </row>
    <row r="2556" spans="1:17" x14ac:dyDescent="0.25">
      <c r="A2556" t="s">
        <v>725</v>
      </c>
      <c r="B2556" t="s">
        <v>86</v>
      </c>
      <c r="C2556" s="4">
        <v>1</v>
      </c>
      <c r="D2556" s="4">
        <v>1</v>
      </c>
      <c r="E2556" s="4">
        <v>1</v>
      </c>
      <c r="F2556" s="4">
        <v>1</v>
      </c>
      <c r="G2556" s="4">
        <v>1</v>
      </c>
      <c r="H2556" s="4">
        <v>1</v>
      </c>
      <c r="I2556" s="4">
        <v>1</v>
      </c>
      <c r="J2556" s="4">
        <v>1</v>
      </c>
      <c r="K2556" s="4">
        <v>1</v>
      </c>
      <c r="L2556" s="4">
        <v>1</v>
      </c>
      <c r="M2556" s="4">
        <v>1</v>
      </c>
      <c r="N2556" t="s">
        <v>720</v>
      </c>
      <c r="O2556" t="s">
        <v>719</v>
      </c>
      <c r="P2556" t="s">
        <v>725</v>
      </c>
      <c r="Q2556" t="s">
        <v>245</v>
      </c>
    </row>
    <row r="2557" spans="1:17" x14ac:dyDescent="0.25">
      <c r="A2557" t="s">
        <v>726</v>
      </c>
      <c r="B2557" t="s">
        <v>86</v>
      </c>
      <c r="C2557" s="4">
        <v>1</v>
      </c>
      <c r="D2557" s="4">
        <v>1</v>
      </c>
      <c r="E2557" s="4">
        <v>1</v>
      </c>
      <c r="F2557" s="4">
        <v>1</v>
      </c>
      <c r="G2557" s="4">
        <v>1</v>
      </c>
      <c r="H2557" s="4">
        <v>1</v>
      </c>
      <c r="I2557" s="4">
        <v>1</v>
      </c>
      <c r="J2557" s="4">
        <v>1</v>
      </c>
      <c r="K2557" s="4">
        <v>1</v>
      </c>
      <c r="L2557" s="4">
        <v>1</v>
      </c>
      <c r="M2557" s="4">
        <v>1</v>
      </c>
      <c r="N2557" t="s">
        <v>720</v>
      </c>
      <c r="O2557" t="s">
        <v>719</v>
      </c>
      <c r="P2557" t="s">
        <v>726</v>
      </c>
      <c r="Q2557" t="s">
        <v>245</v>
      </c>
    </row>
    <row r="2558" spans="1:17" x14ac:dyDescent="0.25">
      <c r="A2558" t="s">
        <v>727</v>
      </c>
      <c r="B2558" t="s">
        <v>86</v>
      </c>
      <c r="C2558" s="4">
        <v>1</v>
      </c>
      <c r="D2558" s="4">
        <v>1</v>
      </c>
      <c r="E2558" s="4">
        <v>1</v>
      </c>
      <c r="F2558" s="4">
        <v>1</v>
      </c>
      <c r="G2558" s="4">
        <v>1</v>
      </c>
      <c r="H2558" s="4">
        <v>1</v>
      </c>
      <c r="I2558" s="4">
        <v>1</v>
      </c>
      <c r="J2558" s="4">
        <v>1</v>
      </c>
      <c r="K2558" s="4">
        <v>1</v>
      </c>
      <c r="L2558" s="4">
        <v>1</v>
      </c>
      <c r="M2558" s="4">
        <v>1</v>
      </c>
      <c r="N2558" t="s">
        <v>720</v>
      </c>
      <c r="O2558" t="s">
        <v>719</v>
      </c>
      <c r="P2558" t="s">
        <v>727</v>
      </c>
      <c r="Q2558" t="s">
        <v>245</v>
      </c>
    </row>
    <row r="2559" spans="1:17" x14ac:dyDescent="0.25">
      <c r="A2559" t="s">
        <v>728</v>
      </c>
      <c r="B2559" t="s">
        <v>86</v>
      </c>
      <c r="C2559" s="4">
        <v>0.84850000000000003</v>
      </c>
      <c r="D2559" s="4">
        <v>0.84850000000000003</v>
      </c>
      <c r="E2559" s="4">
        <v>0.84850000000000003</v>
      </c>
      <c r="F2559" s="4">
        <v>0.84850000000000003</v>
      </c>
      <c r="G2559" s="4">
        <v>0.84850000000000003</v>
      </c>
      <c r="H2559" s="4">
        <v>0.84850000000000003</v>
      </c>
      <c r="I2559" s="4">
        <v>0.84850000000000003</v>
      </c>
      <c r="J2559" s="4">
        <v>0.84850000000000003</v>
      </c>
      <c r="K2559" s="4">
        <v>0.84850000000000003</v>
      </c>
      <c r="L2559" s="4">
        <v>0.84850000000000003</v>
      </c>
      <c r="M2559" s="4">
        <v>0.84850000000000003</v>
      </c>
      <c r="N2559" t="s">
        <v>720</v>
      </c>
      <c r="O2559" t="s">
        <v>719</v>
      </c>
      <c r="P2559" t="s">
        <v>728</v>
      </c>
      <c r="Q2559" t="s">
        <v>245</v>
      </c>
    </row>
    <row r="2560" spans="1:17" x14ac:dyDescent="0.25">
      <c r="A2560" t="s">
        <v>728</v>
      </c>
      <c r="B2560" t="s">
        <v>103</v>
      </c>
      <c r="C2560" s="4">
        <v>0.1045</v>
      </c>
      <c r="D2560" s="4">
        <v>0.1045</v>
      </c>
      <c r="E2560" s="4">
        <v>0.1045</v>
      </c>
      <c r="F2560" s="4">
        <v>0.1045</v>
      </c>
      <c r="G2560" s="4">
        <v>0.1045</v>
      </c>
      <c r="H2560" s="4">
        <v>0.1045</v>
      </c>
      <c r="I2560" s="4">
        <v>0.1045</v>
      </c>
      <c r="J2560" s="4">
        <v>0.1045</v>
      </c>
      <c r="K2560" s="4">
        <v>0.1045</v>
      </c>
      <c r="L2560" s="4">
        <v>0.1045</v>
      </c>
      <c r="M2560" s="4">
        <v>0.1045</v>
      </c>
      <c r="N2560" t="s">
        <v>256</v>
      </c>
      <c r="O2560" t="s">
        <v>719</v>
      </c>
      <c r="P2560" t="s">
        <v>728</v>
      </c>
      <c r="Q2560" t="s">
        <v>245</v>
      </c>
    </row>
    <row r="2561" spans="1:17" x14ac:dyDescent="0.25">
      <c r="A2561" t="s">
        <v>728</v>
      </c>
      <c r="B2561" t="s">
        <v>107</v>
      </c>
      <c r="C2561" s="4">
        <v>1.9E-2</v>
      </c>
      <c r="D2561" s="4">
        <v>1.9E-2</v>
      </c>
      <c r="E2561" s="4">
        <v>1.9E-2</v>
      </c>
      <c r="F2561" s="4">
        <v>1.9E-2</v>
      </c>
      <c r="G2561" s="4">
        <v>1.9E-2</v>
      </c>
      <c r="H2561" s="4">
        <v>1.9E-2</v>
      </c>
      <c r="I2561" s="4">
        <v>1.9E-2</v>
      </c>
      <c r="J2561" s="4">
        <v>1.9E-2</v>
      </c>
      <c r="K2561" s="4">
        <v>1.9E-2</v>
      </c>
      <c r="L2561" s="4">
        <v>1.9E-2</v>
      </c>
      <c r="M2561" s="4">
        <v>1.9E-2</v>
      </c>
      <c r="N2561" t="s">
        <v>256</v>
      </c>
      <c r="O2561" t="s">
        <v>719</v>
      </c>
      <c r="P2561" t="s">
        <v>728</v>
      </c>
      <c r="Q2561" t="s">
        <v>245</v>
      </c>
    </row>
    <row r="2562" spans="1:17" x14ac:dyDescent="0.25">
      <c r="A2562" t="s">
        <v>728</v>
      </c>
      <c r="B2562" t="s">
        <v>97</v>
      </c>
      <c r="C2562" s="4">
        <v>1.6E-2</v>
      </c>
      <c r="D2562" s="4">
        <v>1.6E-2</v>
      </c>
      <c r="E2562" s="4">
        <v>1.6E-2</v>
      </c>
      <c r="F2562" s="4">
        <v>1.6E-2</v>
      </c>
      <c r="G2562" s="4">
        <v>1.6E-2</v>
      </c>
      <c r="H2562" s="4">
        <v>1.6E-2</v>
      </c>
      <c r="I2562" s="4">
        <v>1.6E-2</v>
      </c>
      <c r="J2562" s="4">
        <v>1.6E-2</v>
      </c>
      <c r="K2562" s="4">
        <v>1.6E-2</v>
      </c>
      <c r="L2562" s="4">
        <v>1.6E-2</v>
      </c>
      <c r="M2562" s="4">
        <v>1.6E-2</v>
      </c>
      <c r="N2562" t="s">
        <v>256</v>
      </c>
      <c r="O2562" t="s">
        <v>719</v>
      </c>
      <c r="P2562" t="s">
        <v>728</v>
      </c>
      <c r="Q2562" t="s">
        <v>245</v>
      </c>
    </row>
    <row r="2563" spans="1:17" x14ac:dyDescent="0.25">
      <c r="A2563" t="s">
        <v>728</v>
      </c>
      <c r="B2563" t="s">
        <v>115</v>
      </c>
      <c r="C2563" s="4">
        <v>0.01</v>
      </c>
      <c r="D2563" s="4">
        <v>0.01</v>
      </c>
      <c r="E2563" s="4">
        <v>0.01</v>
      </c>
      <c r="F2563" s="4">
        <v>0.01</v>
      </c>
      <c r="G2563" s="4">
        <v>0.01</v>
      </c>
      <c r="H2563" s="4">
        <v>0.01</v>
      </c>
      <c r="I2563" s="4">
        <v>0.01</v>
      </c>
      <c r="J2563" s="4">
        <v>0.01</v>
      </c>
      <c r="K2563" s="4">
        <v>0.01</v>
      </c>
      <c r="L2563" s="4">
        <v>0.01</v>
      </c>
      <c r="M2563" s="4">
        <v>0.01</v>
      </c>
      <c r="N2563" t="s">
        <v>256</v>
      </c>
      <c r="O2563" t="s">
        <v>719</v>
      </c>
      <c r="P2563" t="s">
        <v>728</v>
      </c>
      <c r="Q2563" t="s">
        <v>245</v>
      </c>
    </row>
    <row r="2564" spans="1:17" x14ac:dyDescent="0.25">
      <c r="A2564" t="s">
        <v>728</v>
      </c>
      <c r="B2564" t="s">
        <v>132</v>
      </c>
      <c r="C2564" s="4">
        <v>1E-3</v>
      </c>
      <c r="D2564" s="4">
        <v>1E-3</v>
      </c>
      <c r="E2564" s="4">
        <v>1E-3</v>
      </c>
      <c r="F2564" s="4">
        <v>1E-3</v>
      </c>
      <c r="G2564" s="4">
        <v>1E-3</v>
      </c>
      <c r="H2564" s="4">
        <v>1E-3</v>
      </c>
      <c r="I2564" s="4">
        <v>1E-3</v>
      </c>
      <c r="J2564" s="4">
        <v>1E-3</v>
      </c>
      <c r="K2564" s="4">
        <v>1E-3</v>
      </c>
      <c r="L2564" s="4">
        <v>1E-3</v>
      </c>
      <c r="M2564" s="4">
        <v>1E-3</v>
      </c>
      <c r="N2564" t="s">
        <v>256</v>
      </c>
      <c r="O2564" t="s">
        <v>719</v>
      </c>
      <c r="P2564" t="s">
        <v>728</v>
      </c>
      <c r="Q2564" t="s">
        <v>245</v>
      </c>
    </row>
    <row r="2565" spans="1:17" x14ac:dyDescent="0.25">
      <c r="A2565" t="s">
        <v>728</v>
      </c>
      <c r="B2565" t="s">
        <v>83</v>
      </c>
      <c r="C2565" s="4">
        <v>1E-3</v>
      </c>
      <c r="D2565" s="4">
        <v>1E-3</v>
      </c>
      <c r="E2565" s="4">
        <v>1E-3</v>
      </c>
      <c r="F2565" s="4">
        <v>1E-3</v>
      </c>
      <c r="G2565" s="4">
        <v>1E-3</v>
      </c>
      <c r="H2565" s="4">
        <v>1E-3</v>
      </c>
      <c r="I2565" s="4">
        <v>1E-3</v>
      </c>
      <c r="J2565" s="4">
        <v>1E-3</v>
      </c>
      <c r="K2565" s="4">
        <v>1E-3</v>
      </c>
      <c r="L2565" s="4">
        <v>1E-3</v>
      </c>
      <c r="M2565" s="4">
        <v>1E-3</v>
      </c>
      <c r="N2565" t="s">
        <v>256</v>
      </c>
      <c r="O2565" t="s">
        <v>719</v>
      </c>
      <c r="P2565" t="s">
        <v>728</v>
      </c>
      <c r="Q2565" t="s">
        <v>245</v>
      </c>
    </row>
    <row r="2566" spans="1:17" x14ac:dyDescent="0.25">
      <c r="A2566" t="s">
        <v>806</v>
      </c>
      <c r="B2566" t="s">
        <v>86</v>
      </c>
      <c r="C2566" s="4">
        <v>0.66700000000000004</v>
      </c>
      <c r="D2566" s="4">
        <v>0.66700000000000004</v>
      </c>
      <c r="E2566" s="4">
        <v>0.66700000000000004</v>
      </c>
      <c r="F2566" s="4">
        <v>0.66700000000000004</v>
      </c>
      <c r="G2566" s="4">
        <v>0.66700000000000004</v>
      </c>
      <c r="H2566" s="4">
        <v>0.66700000000000004</v>
      </c>
      <c r="I2566" s="4">
        <v>0.66700000000000004</v>
      </c>
      <c r="J2566" s="4">
        <v>0.66700000000000004</v>
      </c>
      <c r="K2566" s="4">
        <v>0.66700000000000004</v>
      </c>
      <c r="L2566" s="4">
        <v>0.66700000000000004</v>
      </c>
      <c r="M2566" s="4">
        <v>0.66700000000000004</v>
      </c>
      <c r="N2566" t="s">
        <v>439</v>
      </c>
      <c r="O2566" t="s">
        <v>438</v>
      </c>
      <c r="P2566" t="s">
        <v>806</v>
      </c>
      <c r="Q2566" t="s">
        <v>245</v>
      </c>
    </row>
    <row r="2567" spans="1:17" x14ac:dyDescent="0.25">
      <c r="A2567" t="s">
        <v>806</v>
      </c>
      <c r="B2567" t="s">
        <v>107</v>
      </c>
      <c r="C2567" s="4">
        <v>0.16700000000000001</v>
      </c>
      <c r="D2567" s="4">
        <v>0.16700000000000001</v>
      </c>
      <c r="E2567" s="4">
        <v>0.16700000000000001</v>
      </c>
      <c r="F2567" s="4">
        <v>0.16700000000000001</v>
      </c>
      <c r="G2567" s="4">
        <v>0.16700000000000001</v>
      </c>
      <c r="H2567" s="4">
        <v>0.16700000000000001</v>
      </c>
      <c r="I2567" s="4">
        <v>0.16700000000000001</v>
      </c>
      <c r="J2567" s="4">
        <v>0.16700000000000001</v>
      </c>
      <c r="K2567" s="4">
        <v>0.16700000000000001</v>
      </c>
      <c r="L2567" s="4">
        <v>0.16700000000000001</v>
      </c>
      <c r="M2567" s="4">
        <v>0.16700000000000001</v>
      </c>
      <c r="N2567" t="s">
        <v>439</v>
      </c>
      <c r="O2567" t="s">
        <v>438</v>
      </c>
      <c r="P2567" t="s">
        <v>806</v>
      </c>
      <c r="Q2567" t="s">
        <v>245</v>
      </c>
    </row>
    <row r="2568" spans="1:17" x14ac:dyDescent="0.25">
      <c r="A2568" t="s">
        <v>806</v>
      </c>
      <c r="B2568" t="s">
        <v>122</v>
      </c>
      <c r="C2568" s="4">
        <v>4.1500000000000002E-2</v>
      </c>
      <c r="D2568" s="4">
        <v>4.1500000000000002E-2</v>
      </c>
      <c r="E2568" s="4">
        <v>4.1500000000000002E-2</v>
      </c>
      <c r="F2568" s="4">
        <v>4.1500000000000002E-2</v>
      </c>
      <c r="G2568" s="4">
        <v>4.1500000000000002E-2</v>
      </c>
      <c r="H2568" s="4">
        <v>4.1500000000000002E-2</v>
      </c>
      <c r="I2568" s="4">
        <v>4.1500000000000002E-2</v>
      </c>
      <c r="J2568" s="4">
        <v>4.1500000000000002E-2</v>
      </c>
      <c r="K2568" s="4">
        <v>4.1500000000000002E-2</v>
      </c>
      <c r="L2568" s="4">
        <v>4.1500000000000002E-2</v>
      </c>
      <c r="M2568" s="4">
        <v>4.1500000000000002E-2</v>
      </c>
      <c r="N2568" t="s">
        <v>439</v>
      </c>
      <c r="O2568" t="s">
        <v>438</v>
      </c>
      <c r="P2568" t="s">
        <v>806</v>
      </c>
      <c r="Q2568" t="s">
        <v>245</v>
      </c>
    </row>
    <row r="2569" spans="1:17" x14ac:dyDescent="0.25">
      <c r="A2569" t="s">
        <v>806</v>
      </c>
      <c r="B2569" t="s">
        <v>156</v>
      </c>
      <c r="C2569" s="4">
        <v>4.1500000000000002E-2</v>
      </c>
      <c r="D2569" s="4">
        <v>4.1500000000000002E-2</v>
      </c>
      <c r="E2569" s="4">
        <v>4.1500000000000002E-2</v>
      </c>
      <c r="F2569" s="4">
        <v>4.1500000000000002E-2</v>
      </c>
      <c r="G2569" s="4">
        <v>4.1500000000000002E-2</v>
      </c>
      <c r="H2569" s="4">
        <v>4.1500000000000002E-2</v>
      </c>
      <c r="I2569" s="4">
        <v>4.1500000000000002E-2</v>
      </c>
      <c r="J2569" s="4">
        <v>4.1500000000000002E-2</v>
      </c>
      <c r="K2569" s="4">
        <v>4.1500000000000002E-2</v>
      </c>
      <c r="L2569" s="4">
        <v>4.1500000000000002E-2</v>
      </c>
      <c r="M2569" s="4">
        <v>4.1500000000000002E-2</v>
      </c>
      <c r="N2569" t="s">
        <v>439</v>
      </c>
      <c r="O2569" t="s">
        <v>438</v>
      </c>
      <c r="P2569" t="s">
        <v>806</v>
      </c>
      <c r="Q2569" t="s">
        <v>245</v>
      </c>
    </row>
    <row r="2570" spans="1:17" x14ac:dyDescent="0.25">
      <c r="A2570" t="s">
        <v>806</v>
      </c>
      <c r="B2570" t="s">
        <v>116</v>
      </c>
      <c r="C2570" s="4">
        <v>4.1500000000000002E-2</v>
      </c>
      <c r="D2570" s="4">
        <v>4.1500000000000002E-2</v>
      </c>
      <c r="E2570" s="4">
        <v>4.1500000000000002E-2</v>
      </c>
      <c r="F2570" s="4">
        <v>4.1500000000000002E-2</v>
      </c>
      <c r="G2570" s="4">
        <v>4.1500000000000002E-2</v>
      </c>
      <c r="H2570" s="4">
        <v>4.1500000000000002E-2</v>
      </c>
      <c r="I2570" s="4">
        <v>4.1500000000000002E-2</v>
      </c>
      <c r="J2570" s="4">
        <v>4.1500000000000002E-2</v>
      </c>
      <c r="K2570" s="4">
        <v>4.1500000000000002E-2</v>
      </c>
      <c r="L2570" s="4">
        <v>4.1500000000000002E-2</v>
      </c>
      <c r="M2570" s="4">
        <v>4.1500000000000002E-2</v>
      </c>
      <c r="N2570" t="s">
        <v>439</v>
      </c>
      <c r="O2570" t="s">
        <v>438</v>
      </c>
      <c r="P2570" t="s">
        <v>806</v>
      </c>
      <c r="Q2570" t="s">
        <v>245</v>
      </c>
    </row>
    <row r="2571" spans="1:17" x14ac:dyDescent="0.25">
      <c r="A2571" t="s">
        <v>806</v>
      </c>
      <c r="B2571" t="s">
        <v>102</v>
      </c>
      <c r="C2571" s="4">
        <v>4.1500000000000002E-2</v>
      </c>
      <c r="D2571" s="4">
        <v>4.1500000000000002E-2</v>
      </c>
      <c r="E2571" s="4">
        <v>4.1500000000000002E-2</v>
      </c>
      <c r="F2571" s="4">
        <v>4.1500000000000002E-2</v>
      </c>
      <c r="G2571" s="4">
        <v>4.1500000000000002E-2</v>
      </c>
      <c r="H2571" s="4">
        <v>4.1500000000000002E-2</v>
      </c>
      <c r="I2571" s="4">
        <v>4.1500000000000002E-2</v>
      </c>
      <c r="J2571" s="4">
        <v>4.1500000000000002E-2</v>
      </c>
      <c r="K2571" s="4">
        <v>4.1500000000000002E-2</v>
      </c>
      <c r="L2571" s="4">
        <v>4.1500000000000002E-2</v>
      </c>
      <c r="M2571" s="4">
        <v>4.1500000000000002E-2</v>
      </c>
      <c r="N2571" t="s">
        <v>439</v>
      </c>
      <c r="O2571" t="s">
        <v>438</v>
      </c>
      <c r="P2571" t="s">
        <v>806</v>
      </c>
      <c r="Q2571" t="s">
        <v>245</v>
      </c>
    </row>
    <row r="2572" spans="1:17" x14ac:dyDescent="0.25">
      <c r="A2572" t="s">
        <v>729</v>
      </c>
      <c r="B2572" t="s">
        <v>86</v>
      </c>
      <c r="C2572" s="4">
        <v>0.84850000000000003</v>
      </c>
      <c r="D2572" s="4">
        <v>0.84850000000000003</v>
      </c>
      <c r="E2572" s="4">
        <v>0.84850000000000003</v>
      </c>
      <c r="F2572" s="4">
        <v>0.84850000000000003</v>
      </c>
      <c r="G2572" s="4">
        <v>0.84850000000000003</v>
      </c>
      <c r="H2572" s="4">
        <v>0.84850000000000003</v>
      </c>
      <c r="I2572" s="4">
        <v>0.84850000000000003</v>
      </c>
      <c r="J2572" s="4">
        <v>0.84850000000000003</v>
      </c>
      <c r="K2572" s="4">
        <v>0.84850000000000003</v>
      </c>
      <c r="L2572" s="4">
        <v>0.84850000000000003</v>
      </c>
      <c r="M2572" s="4">
        <v>0.84850000000000003</v>
      </c>
      <c r="N2572" t="s">
        <v>720</v>
      </c>
      <c r="O2572" t="s">
        <v>719</v>
      </c>
      <c r="P2572" t="s">
        <v>729</v>
      </c>
      <c r="Q2572" t="s">
        <v>245</v>
      </c>
    </row>
    <row r="2573" spans="1:17" x14ac:dyDescent="0.25">
      <c r="A2573" t="s">
        <v>729</v>
      </c>
      <c r="B2573" t="s">
        <v>103</v>
      </c>
      <c r="C2573" s="4">
        <v>0.1045</v>
      </c>
      <c r="D2573" s="4">
        <v>0.1045</v>
      </c>
      <c r="E2573" s="4">
        <v>0.1045</v>
      </c>
      <c r="F2573" s="4">
        <v>0.1045</v>
      </c>
      <c r="G2573" s="4">
        <v>0.1045</v>
      </c>
      <c r="H2573" s="4">
        <v>0.1045</v>
      </c>
      <c r="I2573" s="4">
        <v>0.1045</v>
      </c>
      <c r="J2573" s="4">
        <v>0.1045</v>
      </c>
      <c r="K2573" s="4">
        <v>0.1045</v>
      </c>
      <c r="L2573" s="4">
        <v>0.1045</v>
      </c>
      <c r="M2573" s="4">
        <v>0.1045</v>
      </c>
      <c r="N2573" t="s">
        <v>256</v>
      </c>
      <c r="O2573" t="s">
        <v>719</v>
      </c>
      <c r="P2573" t="s">
        <v>729</v>
      </c>
      <c r="Q2573" t="s">
        <v>245</v>
      </c>
    </row>
    <row r="2574" spans="1:17" x14ac:dyDescent="0.25">
      <c r="A2574" t="s">
        <v>729</v>
      </c>
      <c r="B2574" t="s">
        <v>107</v>
      </c>
      <c r="C2574" s="4">
        <v>1.9E-2</v>
      </c>
      <c r="D2574" s="4">
        <v>1.9E-2</v>
      </c>
      <c r="E2574" s="4">
        <v>1.9E-2</v>
      </c>
      <c r="F2574" s="4">
        <v>1.9E-2</v>
      </c>
      <c r="G2574" s="4">
        <v>1.9E-2</v>
      </c>
      <c r="H2574" s="4">
        <v>1.9E-2</v>
      </c>
      <c r="I2574" s="4">
        <v>1.9E-2</v>
      </c>
      <c r="J2574" s="4">
        <v>1.9E-2</v>
      </c>
      <c r="K2574" s="4">
        <v>1.9E-2</v>
      </c>
      <c r="L2574" s="4">
        <v>1.9E-2</v>
      </c>
      <c r="M2574" s="4">
        <v>1.9E-2</v>
      </c>
      <c r="N2574" t="s">
        <v>256</v>
      </c>
      <c r="O2574" t="s">
        <v>719</v>
      </c>
      <c r="P2574" t="s">
        <v>729</v>
      </c>
      <c r="Q2574" t="s">
        <v>245</v>
      </c>
    </row>
    <row r="2575" spans="1:17" x14ac:dyDescent="0.25">
      <c r="A2575" t="s">
        <v>729</v>
      </c>
      <c r="B2575" t="s">
        <v>97</v>
      </c>
      <c r="C2575" s="4">
        <v>1.6E-2</v>
      </c>
      <c r="D2575" s="4">
        <v>1.6E-2</v>
      </c>
      <c r="E2575" s="4">
        <v>1.6E-2</v>
      </c>
      <c r="F2575" s="4">
        <v>1.6E-2</v>
      </c>
      <c r="G2575" s="4">
        <v>1.6E-2</v>
      </c>
      <c r="H2575" s="4">
        <v>1.6E-2</v>
      </c>
      <c r="I2575" s="4">
        <v>1.6E-2</v>
      </c>
      <c r="J2575" s="4">
        <v>1.6E-2</v>
      </c>
      <c r="K2575" s="4">
        <v>1.6E-2</v>
      </c>
      <c r="L2575" s="4">
        <v>1.6E-2</v>
      </c>
      <c r="M2575" s="4">
        <v>1.6E-2</v>
      </c>
      <c r="N2575" t="s">
        <v>256</v>
      </c>
      <c r="O2575" t="s">
        <v>719</v>
      </c>
      <c r="P2575" t="s">
        <v>729</v>
      </c>
      <c r="Q2575" t="s">
        <v>245</v>
      </c>
    </row>
    <row r="2576" spans="1:17" x14ac:dyDescent="0.25">
      <c r="A2576" t="s">
        <v>729</v>
      </c>
      <c r="B2576" t="s">
        <v>115</v>
      </c>
      <c r="C2576" s="4">
        <v>0.01</v>
      </c>
      <c r="D2576" s="4">
        <v>0.01</v>
      </c>
      <c r="E2576" s="4">
        <v>0.01</v>
      </c>
      <c r="F2576" s="4">
        <v>0.01</v>
      </c>
      <c r="G2576" s="4">
        <v>0.01</v>
      </c>
      <c r="H2576" s="4">
        <v>0.01</v>
      </c>
      <c r="I2576" s="4">
        <v>0.01</v>
      </c>
      <c r="J2576" s="4">
        <v>0.01</v>
      </c>
      <c r="K2576" s="4">
        <v>0.01</v>
      </c>
      <c r="L2576" s="4">
        <v>0.01</v>
      </c>
      <c r="M2576" s="4">
        <v>0.01</v>
      </c>
      <c r="N2576" t="s">
        <v>256</v>
      </c>
      <c r="O2576" t="s">
        <v>719</v>
      </c>
      <c r="P2576" t="s">
        <v>729</v>
      </c>
      <c r="Q2576" t="s">
        <v>245</v>
      </c>
    </row>
    <row r="2577" spans="1:17" x14ac:dyDescent="0.25">
      <c r="A2577" t="s">
        <v>729</v>
      </c>
      <c r="B2577" t="s">
        <v>132</v>
      </c>
      <c r="C2577" s="4">
        <v>1E-3</v>
      </c>
      <c r="D2577" s="4">
        <v>1E-3</v>
      </c>
      <c r="E2577" s="4">
        <v>1E-3</v>
      </c>
      <c r="F2577" s="4">
        <v>1E-3</v>
      </c>
      <c r="G2577" s="4">
        <v>1E-3</v>
      </c>
      <c r="H2577" s="4">
        <v>1E-3</v>
      </c>
      <c r="I2577" s="4">
        <v>1E-3</v>
      </c>
      <c r="J2577" s="4">
        <v>1E-3</v>
      </c>
      <c r="K2577" s="4">
        <v>1E-3</v>
      </c>
      <c r="L2577" s="4">
        <v>1E-3</v>
      </c>
      <c r="M2577" s="4">
        <v>1E-3</v>
      </c>
      <c r="N2577" t="s">
        <v>256</v>
      </c>
      <c r="O2577" t="s">
        <v>719</v>
      </c>
      <c r="P2577" t="s">
        <v>729</v>
      </c>
      <c r="Q2577" t="s">
        <v>245</v>
      </c>
    </row>
    <row r="2578" spans="1:17" x14ac:dyDescent="0.25">
      <c r="A2578" t="s">
        <v>729</v>
      </c>
      <c r="B2578" t="s">
        <v>83</v>
      </c>
      <c r="C2578" s="4">
        <v>1E-3</v>
      </c>
      <c r="D2578" s="4">
        <v>1E-3</v>
      </c>
      <c r="E2578" s="4">
        <v>1E-3</v>
      </c>
      <c r="F2578" s="4">
        <v>1E-3</v>
      </c>
      <c r="G2578" s="4">
        <v>1E-3</v>
      </c>
      <c r="H2578" s="4">
        <v>1E-3</v>
      </c>
      <c r="I2578" s="4">
        <v>1E-3</v>
      </c>
      <c r="J2578" s="4">
        <v>1E-3</v>
      </c>
      <c r="K2578" s="4">
        <v>1E-3</v>
      </c>
      <c r="L2578" s="4">
        <v>1E-3</v>
      </c>
      <c r="M2578" s="4">
        <v>1E-3</v>
      </c>
      <c r="N2578" t="s">
        <v>256</v>
      </c>
      <c r="O2578" t="s">
        <v>719</v>
      </c>
      <c r="P2578" t="s">
        <v>729</v>
      </c>
      <c r="Q2578" t="s">
        <v>245</v>
      </c>
    </row>
    <row r="2579" spans="1:17" x14ac:dyDescent="0.25">
      <c r="A2579" t="s">
        <v>730</v>
      </c>
      <c r="B2579" t="s">
        <v>86</v>
      </c>
      <c r="C2579" s="4">
        <v>0.84850000000000003</v>
      </c>
      <c r="D2579" s="4">
        <v>0.84850000000000003</v>
      </c>
      <c r="E2579" s="4">
        <v>0.84850000000000003</v>
      </c>
      <c r="F2579" s="4">
        <v>0.84850000000000003</v>
      </c>
      <c r="G2579" s="4">
        <v>0.84850000000000003</v>
      </c>
      <c r="H2579" s="4">
        <v>0.84850000000000003</v>
      </c>
      <c r="I2579" s="4">
        <v>0.84850000000000003</v>
      </c>
      <c r="J2579" s="4">
        <v>0.84850000000000003</v>
      </c>
      <c r="K2579" s="4">
        <v>0.84850000000000003</v>
      </c>
      <c r="L2579" s="4">
        <v>0.84850000000000003</v>
      </c>
      <c r="M2579" s="4">
        <v>0.84850000000000003</v>
      </c>
      <c r="N2579" t="s">
        <v>720</v>
      </c>
      <c r="O2579" t="s">
        <v>719</v>
      </c>
      <c r="P2579" t="s">
        <v>730</v>
      </c>
      <c r="Q2579" t="s">
        <v>245</v>
      </c>
    </row>
    <row r="2580" spans="1:17" x14ac:dyDescent="0.25">
      <c r="A2580" t="s">
        <v>730</v>
      </c>
      <c r="B2580" t="s">
        <v>103</v>
      </c>
      <c r="C2580" s="4">
        <v>0.1045</v>
      </c>
      <c r="D2580" s="4">
        <v>0.1045</v>
      </c>
      <c r="E2580" s="4">
        <v>0.1045</v>
      </c>
      <c r="F2580" s="4">
        <v>0.1045</v>
      </c>
      <c r="G2580" s="4">
        <v>0.1045</v>
      </c>
      <c r="H2580" s="4">
        <v>0.1045</v>
      </c>
      <c r="I2580" s="4">
        <v>0.1045</v>
      </c>
      <c r="J2580" s="4">
        <v>0.1045</v>
      </c>
      <c r="K2580" s="4">
        <v>0.1045</v>
      </c>
      <c r="L2580" s="4">
        <v>0.1045</v>
      </c>
      <c r="M2580" s="4">
        <v>0.1045</v>
      </c>
      <c r="N2580" t="s">
        <v>256</v>
      </c>
      <c r="O2580" t="s">
        <v>719</v>
      </c>
      <c r="P2580" t="s">
        <v>730</v>
      </c>
      <c r="Q2580" t="s">
        <v>245</v>
      </c>
    </row>
    <row r="2581" spans="1:17" x14ac:dyDescent="0.25">
      <c r="A2581" t="s">
        <v>730</v>
      </c>
      <c r="B2581" t="s">
        <v>107</v>
      </c>
      <c r="C2581" s="4">
        <v>1.9E-2</v>
      </c>
      <c r="D2581" s="4">
        <v>1.9E-2</v>
      </c>
      <c r="E2581" s="4">
        <v>1.9E-2</v>
      </c>
      <c r="F2581" s="4">
        <v>1.9E-2</v>
      </c>
      <c r="G2581" s="4">
        <v>1.9E-2</v>
      </c>
      <c r="H2581" s="4">
        <v>1.9E-2</v>
      </c>
      <c r="I2581" s="4">
        <v>1.9E-2</v>
      </c>
      <c r="J2581" s="4">
        <v>1.9E-2</v>
      </c>
      <c r="K2581" s="4">
        <v>1.9E-2</v>
      </c>
      <c r="L2581" s="4">
        <v>1.9E-2</v>
      </c>
      <c r="M2581" s="4">
        <v>1.9E-2</v>
      </c>
      <c r="N2581" t="s">
        <v>256</v>
      </c>
      <c r="O2581" t="s">
        <v>719</v>
      </c>
      <c r="P2581" t="s">
        <v>730</v>
      </c>
      <c r="Q2581" t="s">
        <v>245</v>
      </c>
    </row>
    <row r="2582" spans="1:17" x14ac:dyDescent="0.25">
      <c r="A2582" t="s">
        <v>730</v>
      </c>
      <c r="B2582" t="s">
        <v>97</v>
      </c>
      <c r="C2582" s="4">
        <v>1.6E-2</v>
      </c>
      <c r="D2582" s="4">
        <v>1.6E-2</v>
      </c>
      <c r="E2582" s="4">
        <v>1.6E-2</v>
      </c>
      <c r="F2582" s="4">
        <v>1.6E-2</v>
      </c>
      <c r="G2582" s="4">
        <v>1.6E-2</v>
      </c>
      <c r="H2582" s="4">
        <v>1.6E-2</v>
      </c>
      <c r="I2582" s="4">
        <v>1.6E-2</v>
      </c>
      <c r="J2582" s="4">
        <v>1.6E-2</v>
      </c>
      <c r="K2582" s="4">
        <v>1.6E-2</v>
      </c>
      <c r="L2582" s="4">
        <v>1.6E-2</v>
      </c>
      <c r="M2582" s="4">
        <v>1.6E-2</v>
      </c>
      <c r="N2582" t="s">
        <v>256</v>
      </c>
      <c r="O2582" t="s">
        <v>719</v>
      </c>
      <c r="P2582" t="s">
        <v>730</v>
      </c>
      <c r="Q2582" t="s">
        <v>245</v>
      </c>
    </row>
    <row r="2583" spans="1:17" x14ac:dyDescent="0.25">
      <c r="A2583" t="s">
        <v>730</v>
      </c>
      <c r="B2583" t="s">
        <v>115</v>
      </c>
      <c r="C2583" s="4">
        <v>0.01</v>
      </c>
      <c r="D2583" s="4">
        <v>0.01</v>
      </c>
      <c r="E2583" s="4">
        <v>0.01</v>
      </c>
      <c r="F2583" s="4">
        <v>0.01</v>
      </c>
      <c r="G2583" s="4">
        <v>0.01</v>
      </c>
      <c r="H2583" s="4">
        <v>0.01</v>
      </c>
      <c r="I2583" s="4">
        <v>0.01</v>
      </c>
      <c r="J2583" s="4">
        <v>0.01</v>
      </c>
      <c r="K2583" s="4">
        <v>0.01</v>
      </c>
      <c r="L2583" s="4">
        <v>0.01</v>
      </c>
      <c r="M2583" s="4">
        <v>0.01</v>
      </c>
      <c r="N2583" t="s">
        <v>256</v>
      </c>
      <c r="O2583" t="s">
        <v>719</v>
      </c>
      <c r="P2583" t="s">
        <v>730</v>
      </c>
      <c r="Q2583" t="s">
        <v>245</v>
      </c>
    </row>
    <row r="2584" spans="1:17" x14ac:dyDescent="0.25">
      <c r="A2584" t="s">
        <v>730</v>
      </c>
      <c r="B2584" t="s">
        <v>132</v>
      </c>
      <c r="C2584" s="4">
        <v>1E-3</v>
      </c>
      <c r="D2584" s="4">
        <v>1E-3</v>
      </c>
      <c r="E2584" s="4">
        <v>1E-3</v>
      </c>
      <c r="F2584" s="4">
        <v>1E-3</v>
      </c>
      <c r="G2584" s="4">
        <v>1E-3</v>
      </c>
      <c r="H2584" s="4">
        <v>1E-3</v>
      </c>
      <c r="I2584" s="4">
        <v>1E-3</v>
      </c>
      <c r="J2584" s="4">
        <v>1E-3</v>
      </c>
      <c r="K2584" s="4">
        <v>1E-3</v>
      </c>
      <c r="L2584" s="4">
        <v>1E-3</v>
      </c>
      <c r="M2584" s="4">
        <v>1E-3</v>
      </c>
      <c r="N2584" t="s">
        <v>256</v>
      </c>
      <c r="O2584" t="s">
        <v>719</v>
      </c>
      <c r="P2584" t="s">
        <v>730</v>
      </c>
      <c r="Q2584" t="s">
        <v>245</v>
      </c>
    </row>
    <row r="2585" spans="1:17" x14ac:dyDescent="0.25">
      <c r="A2585" t="s">
        <v>730</v>
      </c>
      <c r="B2585" t="s">
        <v>83</v>
      </c>
      <c r="C2585" s="4">
        <v>1E-3</v>
      </c>
      <c r="D2585" s="4">
        <v>1E-3</v>
      </c>
      <c r="E2585" s="4">
        <v>1E-3</v>
      </c>
      <c r="F2585" s="4">
        <v>1E-3</v>
      </c>
      <c r="G2585" s="4">
        <v>1E-3</v>
      </c>
      <c r="H2585" s="4">
        <v>1E-3</v>
      </c>
      <c r="I2585" s="4">
        <v>1E-3</v>
      </c>
      <c r="J2585" s="4">
        <v>1E-3</v>
      </c>
      <c r="K2585" s="4">
        <v>1E-3</v>
      </c>
      <c r="L2585" s="4">
        <v>1E-3</v>
      </c>
      <c r="M2585" s="4">
        <v>1E-3</v>
      </c>
      <c r="N2585" t="s">
        <v>256</v>
      </c>
      <c r="O2585" t="s">
        <v>719</v>
      </c>
      <c r="P2585" t="s">
        <v>730</v>
      </c>
      <c r="Q2585" t="s">
        <v>245</v>
      </c>
    </row>
    <row r="2586" spans="1:17" x14ac:dyDescent="0.25">
      <c r="A2586" t="s">
        <v>731</v>
      </c>
      <c r="B2586" t="s">
        <v>86</v>
      </c>
      <c r="C2586" s="4">
        <v>1</v>
      </c>
      <c r="D2586" s="4">
        <v>1</v>
      </c>
      <c r="E2586" s="4">
        <v>1</v>
      </c>
      <c r="F2586" s="4">
        <v>1</v>
      </c>
      <c r="G2586" s="4">
        <v>1</v>
      </c>
      <c r="H2586" s="4">
        <v>1</v>
      </c>
      <c r="I2586" s="4">
        <v>1</v>
      </c>
      <c r="J2586" s="4">
        <v>1</v>
      </c>
      <c r="K2586" s="4">
        <v>1</v>
      </c>
      <c r="L2586" s="4">
        <v>1</v>
      </c>
      <c r="M2586" s="4">
        <v>1</v>
      </c>
      <c r="N2586" t="s">
        <v>720</v>
      </c>
      <c r="O2586" t="s">
        <v>719</v>
      </c>
      <c r="P2586" t="s">
        <v>731</v>
      </c>
      <c r="Q2586" t="s">
        <v>245</v>
      </c>
    </row>
    <row r="2587" spans="1:17" x14ac:dyDescent="0.25">
      <c r="A2587" t="s">
        <v>732</v>
      </c>
      <c r="B2587" t="s">
        <v>86</v>
      </c>
      <c r="C2587" s="4">
        <v>0.84850000000000003</v>
      </c>
      <c r="D2587" s="4">
        <v>0.84850000000000003</v>
      </c>
      <c r="E2587" s="4">
        <v>0.84850000000000003</v>
      </c>
      <c r="F2587" s="4">
        <v>0.84850000000000003</v>
      </c>
      <c r="G2587" s="4">
        <v>0.84850000000000003</v>
      </c>
      <c r="H2587" s="4">
        <v>0.84850000000000003</v>
      </c>
      <c r="I2587" s="4">
        <v>0.84850000000000003</v>
      </c>
      <c r="J2587" s="4">
        <v>0.84850000000000003</v>
      </c>
      <c r="K2587" s="4">
        <v>0.84850000000000003</v>
      </c>
      <c r="L2587" s="4">
        <v>0.84850000000000003</v>
      </c>
      <c r="M2587" s="4">
        <v>0.84850000000000003</v>
      </c>
      <c r="N2587" t="s">
        <v>720</v>
      </c>
      <c r="O2587" t="s">
        <v>719</v>
      </c>
      <c r="P2587" t="s">
        <v>732</v>
      </c>
      <c r="Q2587" t="s">
        <v>245</v>
      </c>
    </row>
    <row r="2588" spans="1:17" x14ac:dyDescent="0.25">
      <c r="A2588" t="s">
        <v>732</v>
      </c>
      <c r="B2588" t="s">
        <v>103</v>
      </c>
      <c r="C2588" s="4">
        <v>0.1045</v>
      </c>
      <c r="D2588" s="4">
        <v>0.1045</v>
      </c>
      <c r="E2588" s="4">
        <v>0.1045</v>
      </c>
      <c r="F2588" s="4">
        <v>0.1045</v>
      </c>
      <c r="G2588" s="4">
        <v>0.1045</v>
      </c>
      <c r="H2588" s="4">
        <v>0.1045</v>
      </c>
      <c r="I2588" s="4">
        <v>0.1045</v>
      </c>
      <c r="J2588" s="4">
        <v>0.1045</v>
      </c>
      <c r="K2588" s="4">
        <v>0.1045</v>
      </c>
      <c r="L2588" s="4">
        <v>0.1045</v>
      </c>
      <c r="M2588" s="4">
        <v>0.1045</v>
      </c>
      <c r="N2588" t="s">
        <v>256</v>
      </c>
      <c r="O2588" t="s">
        <v>719</v>
      </c>
      <c r="P2588" t="s">
        <v>732</v>
      </c>
      <c r="Q2588" t="s">
        <v>245</v>
      </c>
    </row>
    <row r="2589" spans="1:17" x14ac:dyDescent="0.25">
      <c r="A2589" t="s">
        <v>732</v>
      </c>
      <c r="B2589" t="s">
        <v>107</v>
      </c>
      <c r="C2589" s="4">
        <v>1.9E-2</v>
      </c>
      <c r="D2589" s="4">
        <v>1.9E-2</v>
      </c>
      <c r="E2589" s="4">
        <v>1.9E-2</v>
      </c>
      <c r="F2589" s="4">
        <v>1.9E-2</v>
      </c>
      <c r="G2589" s="4">
        <v>1.9E-2</v>
      </c>
      <c r="H2589" s="4">
        <v>1.9E-2</v>
      </c>
      <c r="I2589" s="4">
        <v>1.9E-2</v>
      </c>
      <c r="J2589" s="4">
        <v>1.9E-2</v>
      </c>
      <c r="K2589" s="4">
        <v>1.9E-2</v>
      </c>
      <c r="L2589" s="4">
        <v>1.9E-2</v>
      </c>
      <c r="M2589" s="4">
        <v>1.9E-2</v>
      </c>
      <c r="N2589" t="s">
        <v>256</v>
      </c>
      <c r="O2589" t="s">
        <v>719</v>
      </c>
      <c r="P2589" t="s">
        <v>732</v>
      </c>
      <c r="Q2589" t="s">
        <v>245</v>
      </c>
    </row>
    <row r="2590" spans="1:17" x14ac:dyDescent="0.25">
      <c r="A2590" t="s">
        <v>732</v>
      </c>
      <c r="B2590" t="s">
        <v>97</v>
      </c>
      <c r="C2590" s="4">
        <v>1.6E-2</v>
      </c>
      <c r="D2590" s="4">
        <v>1.6E-2</v>
      </c>
      <c r="E2590" s="4">
        <v>1.6E-2</v>
      </c>
      <c r="F2590" s="4">
        <v>1.6E-2</v>
      </c>
      <c r="G2590" s="4">
        <v>1.6E-2</v>
      </c>
      <c r="H2590" s="4">
        <v>1.6E-2</v>
      </c>
      <c r="I2590" s="4">
        <v>1.6E-2</v>
      </c>
      <c r="J2590" s="4">
        <v>1.6E-2</v>
      </c>
      <c r="K2590" s="4">
        <v>1.6E-2</v>
      </c>
      <c r="L2590" s="4">
        <v>1.6E-2</v>
      </c>
      <c r="M2590" s="4">
        <v>1.6E-2</v>
      </c>
      <c r="N2590" t="s">
        <v>256</v>
      </c>
      <c r="O2590" t="s">
        <v>719</v>
      </c>
      <c r="P2590" t="s">
        <v>732</v>
      </c>
      <c r="Q2590" t="s">
        <v>245</v>
      </c>
    </row>
    <row r="2591" spans="1:17" x14ac:dyDescent="0.25">
      <c r="A2591" t="s">
        <v>732</v>
      </c>
      <c r="B2591" t="s">
        <v>115</v>
      </c>
      <c r="C2591" s="4">
        <v>0.01</v>
      </c>
      <c r="D2591" s="4">
        <v>0.01</v>
      </c>
      <c r="E2591" s="4">
        <v>0.01</v>
      </c>
      <c r="F2591" s="4">
        <v>0.01</v>
      </c>
      <c r="G2591" s="4">
        <v>0.01</v>
      </c>
      <c r="H2591" s="4">
        <v>0.01</v>
      </c>
      <c r="I2591" s="4">
        <v>0.01</v>
      </c>
      <c r="J2591" s="4">
        <v>0.01</v>
      </c>
      <c r="K2591" s="4">
        <v>0.01</v>
      </c>
      <c r="L2591" s="4">
        <v>0.01</v>
      </c>
      <c r="M2591" s="4">
        <v>0.01</v>
      </c>
      <c r="N2591" t="s">
        <v>256</v>
      </c>
      <c r="O2591" t="s">
        <v>719</v>
      </c>
      <c r="P2591" t="s">
        <v>732</v>
      </c>
      <c r="Q2591" t="s">
        <v>245</v>
      </c>
    </row>
    <row r="2592" spans="1:17" x14ac:dyDescent="0.25">
      <c r="A2592" t="s">
        <v>732</v>
      </c>
      <c r="B2592" t="s">
        <v>132</v>
      </c>
      <c r="C2592" s="4">
        <v>1E-3</v>
      </c>
      <c r="D2592" s="4">
        <v>1E-3</v>
      </c>
      <c r="E2592" s="4">
        <v>1E-3</v>
      </c>
      <c r="F2592" s="4">
        <v>1E-3</v>
      </c>
      <c r="G2592" s="4">
        <v>1E-3</v>
      </c>
      <c r="H2592" s="4">
        <v>1E-3</v>
      </c>
      <c r="I2592" s="4">
        <v>1E-3</v>
      </c>
      <c r="J2592" s="4">
        <v>1E-3</v>
      </c>
      <c r="K2592" s="4">
        <v>1E-3</v>
      </c>
      <c r="L2592" s="4">
        <v>1E-3</v>
      </c>
      <c r="M2592" s="4">
        <v>1E-3</v>
      </c>
      <c r="N2592" t="s">
        <v>256</v>
      </c>
      <c r="O2592" t="s">
        <v>719</v>
      </c>
      <c r="P2592" t="s">
        <v>732</v>
      </c>
      <c r="Q2592" t="s">
        <v>245</v>
      </c>
    </row>
    <row r="2593" spans="1:17" x14ac:dyDescent="0.25">
      <c r="A2593" t="s">
        <v>732</v>
      </c>
      <c r="B2593" t="s">
        <v>83</v>
      </c>
      <c r="C2593" s="4">
        <v>1E-3</v>
      </c>
      <c r="D2593" s="4">
        <v>1E-3</v>
      </c>
      <c r="E2593" s="4">
        <v>1E-3</v>
      </c>
      <c r="F2593" s="4">
        <v>1E-3</v>
      </c>
      <c r="G2593" s="4">
        <v>1E-3</v>
      </c>
      <c r="H2593" s="4">
        <v>1E-3</v>
      </c>
      <c r="I2593" s="4">
        <v>1E-3</v>
      </c>
      <c r="J2593" s="4">
        <v>1E-3</v>
      </c>
      <c r="K2593" s="4">
        <v>1E-3</v>
      </c>
      <c r="L2593" s="4">
        <v>1E-3</v>
      </c>
      <c r="M2593" s="4">
        <v>1E-3</v>
      </c>
      <c r="N2593" t="s">
        <v>256</v>
      </c>
      <c r="O2593" t="s">
        <v>719</v>
      </c>
      <c r="P2593" t="s">
        <v>732</v>
      </c>
      <c r="Q2593" t="s">
        <v>245</v>
      </c>
    </row>
    <row r="2594" spans="1:17" x14ac:dyDescent="0.25">
      <c r="A2594" t="s">
        <v>733</v>
      </c>
      <c r="B2594" t="s">
        <v>86</v>
      </c>
      <c r="C2594" s="4">
        <v>1</v>
      </c>
      <c r="D2594" s="4">
        <v>1</v>
      </c>
      <c r="E2594" s="4">
        <v>1</v>
      </c>
      <c r="F2594" s="4">
        <v>1</v>
      </c>
      <c r="G2594" s="4">
        <v>1</v>
      </c>
      <c r="H2594" s="4">
        <v>1</v>
      </c>
      <c r="I2594" s="4">
        <v>1</v>
      </c>
      <c r="J2594" s="4">
        <v>1</v>
      </c>
      <c r="K2594" s="4">
        <v>1</v>
      </c>
      <c r="L2594" s="4">
        <v>1</v>
      </c>
      <c r="M2594" s="4">
        <v>1</v>
      </c>
      <c r="N2594" t="s">
        <v>720</v>
      </c>
      <c r="O2594" t="s">
        <v>719</v>
      </c>
      <c r="P2594" t="s">
        <v>733</v>
      </c>
      <c r="Q2594" t="s">
        <v>245</v>
      </c>
    </row>
    <row r="2595" spans="1:17" x14ac:dyDescent="0.25">
      <c r="A2595" t="s">
        <v>734</v>
      </c>
      <c r="B2595" t="s">
        <v>86</v>
      </c>
      <c r="C2595" s="4">
        <v>0.84850000000000003</v>
      </c>
      <c r="D2595" s="4">
        <v>0.84850000000000003</v>
      </c>
      <c r="E2595" s="4">
        <v>0.84850000000000003</v>
      </c>
      <c r="F2595" s="4">
        <v>0.84850000000000003</v>
      </c>
      <c r="G2595" s="4">
        <v>0.84850000000000003</v>
      </c>
      <c r="H2595" s="4">
        <v>0.84850000000000003</v>
      </c>
      <c r="I2595" s="4">
        <v>0.84850000000000003</v>
      </c>
      <c r="J2595" s="4">
        <v>0.84850000000000003</v>
      </c>
      <c r="K2595" s="4">
        <v>0.84850000000000003</v>
      </c>
      <c r="L2595" s="4">
        <v>0.84850000000000003</v>
      </c>
      <c r="M2595" s="4">
        <v>0.84850000000000003</v>
      </c>
      <c r="N2595" t="s">
        <v>720</v>
      </c>
      <c r="O2595" t="s">
        <v>719</v>
      </c>
      <c r="P2595" t="s">
        <v>734</v>
      </c>
      <c r="Q2595" t="s">
        <v>245</v>
      </c>
    </row>
    <row r="2596" spans="1:17" x14ac:dyDescent="0.25">
      <c r="A2596" t="s">
        <v>734</v>
      </c>
      <c r="B2596" t="s">
        <v>103</v>
      </c>
      <c r="C2596" s="4">
        <v>0.1045</v>
      </c>
      <c r="D2596" s="4">
        <v>0.1045</v>
      </c>
      <c r="E2596" s="4">
        <v>0.1045</v>
      </c>
      <c r="F2596" s="4">
        <v>0.1045</v>
      </c>
      <c r="G2596" s="4">
        <v>0.1045</v>
      </c>
      <c r="H2596" s="4">
        <v>0.1045</v>
      </c>
      <c r="I2596" s="4">
        <v>0.1045</v>
      </c>
      <c r="J2596" s="4">
        <v>0.1045</v>
      </c>
      <c r="K2596" s="4">
        <v>0.1045</v>
      </c>
      <c r="L2596" s="4">
        <v>0.1045</v>
      </c>
      <c r="M2596" s="4">
        <v>0.1045</v>
      </c>
      <c r="N2596" t="s">
        <v>256</v>
      </c>
      <c r="O2596" t="s">
        <v>719</v>
      </c>
      <c r="P2596" t="s">
        <v>734</v>
      </c>
      <c r="Q2596" t="s">
        <v>245</v>
      </c>
    </row>
    <row r="2597" spans="1:17" x14ac:dyDescent="0.25">
      <c r="A2597" t="s">
        <v>734</v>
      </c>
      <c r="B2597" t="s">
        <v>107</v>
      </c>
      <c r="C2597" s="4">
        <v>1.9E-2</v>
      </c>
      <c r="D2597" s="4">
        <v>1.9E-2</v>
      </c>
      <c r="E2597" s="4">
        <v>1.9E-2</v>
      </c>
      <c r="F2597" s="4">
        <v>1.9E-2</v>
      </c>
      <c r="G2597" s="4">
        <v>1.9E-2</v>
      </c>
      <c r="H2597" s="4">
        <v>1.9E-2</v>
      </c>
      <c r="I2597" s="4">
        <v>1.9E-2</v>
      </c>
      <c r="J2597" s="4">
        <v>1.9E-2</v>
      </c>
      <c r="K2597" s="4">
        <v>1.9E-2</v>
      </c>
      <c r="L2597" s="4">
        <v>1.9E-2</v>
      </c>
      <c r="M2597" s="4">
        <v>1.9E-2</v>
      </c>
      <c r="N2597" t="s">
        <v>256</v>
      </c>
      <c r="O2597" t="s">
        <v>719</v>
      </c>
      <c r="P2597" t="s">
        <v>734</v>
      </c>
      <c r="Q2597" t="s">
        <v>245</v>
      </c>
    </row>
    <row r="2598" spans="1:17" x14ac:dyDescent="0.25">
      <c r="A2598" t="s">
        <v>734</v>
      </c>
      <c r="B2598" t="s">
        <v>97</v>
      </c>
      <c r="C2598" s="4">
        <v>1.6E-2</v>
      </c>
      <c r="D2598" s="4">
        <v>1.6E-2</v>
      </c>
      <c r="E2598" s="4">
        <v>1.6E-2</v>
      </c>
      <c r="F2598" s="4">
        <v>1.6E-2</v>
      </c>
      <c r="G2598" s="4">
        <v>1.6E-2</v>
      </c>
      <c r="H2598" s="4">
        <v>1.6E-2</v>
      </c>
      <c r="I2598" s="4">
        <v>1.6E-2</v>
      </c>
      <c r="J2598" s="4">
        <v>1.6E-2</v>
      </c>
      <c r="K2598" s="4">
        <v>1.6E-2</v>
      </c>
      <c r="L2598" s="4">
        <v>1.6E-2</v>
      </c>
      <c r="M2598" s="4">
        <v>1.6E-2</v>
      </c>
      <c r="N2598" t="s">
        <v>256</v>
      </c>
      <c r="O2598" t="s">
        <v>719</v>
      </c>
      <c r="P2598" t="s">
        <v>734</v>
      </c>
      <c r="Q2598" t="s">
        <v>245</v>
      </c>
    </row>
    <row r="2599" spans="1:17" x14ac:dyDescent="0.25">
      <c r="A2599" t="s">
        <v>734</v>
      </c>
      <c r="B2599" t="s">
        <v>115</v>
      </c>
      <c r="C2599" s="4">
        <v>0.01</v>
      </c>
      <c r="D2599" s="4">
        <v>0.01</v>
      </c>
      <c r="E2599" s="4">
        <v>0.01</v>
      </c>
      <c r="F2599" s="4">
        <v>0.01</v>
      </c>
      <c r="G2599" s="4">
        <v>0.01</v>
      </c>
      <c r="H2599" s="4">
        <v>0.01</v>
      </c>
      <c r="I2599" s="4">
        <v>0.01</v>
      </c>
      <c r="J2599" s="4">
        <v>0.01</v>
      </c>
      <c r="K2599" s="4">
        <v>0.01</v>
      </c>
      <c r="L2599" s="4">
        <v>0.01</v>
      </c>
      <c r="M2599" s="4">
        <v>0.01</v>
      </c>
      <c r="N2599" t="s">
        <v>256</v>
      </c>
      <c r="O2599" t="s">
        <v>719</v>
      </c>
      <c r="P2599" t="s">
        <v>734</v>
      </c>
      <c r="Q2599" t="s">
        <v>245</v>
      </c>
    </row>
    <row r="2600" spans="1:17" x14ac:dyDescent="0.25">
      <c r="A2600" t="s">
        <v>734</v>
      </c>
      <c r="B2600" t="s">
        <v>132</v>
      </c>
      <c r="C2600" s="4">
        <v>1E-3</v>
      </c>
      <c r="D2600" s="4">
        <v>1E-3</v>
      </c>
      <c r="E2600" s="4">
        <v>1E-3</v>
      </c>
      <c r="F2600" s="4">
        <v>1E-3</v>
      </c>
      <c r="G2600" s="4">
        <v>1E-3</v>
      </c>
      <c r="H2600" s="4">
        <v>1E-3</v>
      </c>
      <c r="I2600" s="4">
        <v>1E-3</v>
      </c>
      <c r="J2600" s="4">
        <v>1E-3</v>
      </c>
      <c r="K2600" s="4">
        <v>1E-3</v>
      </c>
      <c r="L2600" s="4">
        <v>1E-3</v>
      </c>
      <c r="M2600" s="4">
        <v>1E-3</v>
      </c>
      <c r="N2600" t="s">
        <v>256</v>
      </c>
      <c r="O2600" t="s">
        <v>719</v>
      </c>
      <c r="P2600" t="s">
        <v>734</v>
      </c>
      <c r="Q2600" t="s">
        <v>245</v>
      </c>
    </row>
    <row r="2601" spans="1:17" x14ac:dyDescent="0.25">
      <c r="A2601" t="s">
        <v>734</v>
      </c>
      <c r="B2601" t="s">
        <v>83</v>
      </c>
      <c r="C2601" s="4">
        <v>1E-3</v>
      </c>
      <c r="D2601" s="4">
        <v>1E-3</v>
      </c>
      <c r="E2601" s="4">
        <v>1E-3</v>
      </c>
      <c r="F2601" s="4">
        <v>1E-3</v>
      </c>
      <c r="G2601" s="4">
        <v>1E-3</v>
      </c>
      <c r="H2601" s="4">
        <v>1E-3</v>
      </c>
      <c r="I2601" s="4">
        <v>1E-3</v>
      </c>
      <c r="J2601" s="4">
        <v>1E-3</v>
      </c>
      <c r="K2601" s="4">
        <v>1E-3</v>
      </c>
      <c r="L2601" s="4">
        <v>1E-3</v>
      </c>
      <c r="M2601" s="4">
        <v>1E-3</v>
      </c>
      <c r="N2601" t="s">
        <v>256</v>
      </c>
      <c r="O2601" t="s">
        <v>719</v>
      </c>
      <c r="P2601" t="s">
        <v>734</v>
      </c>
      <c r="Q2601" t="s">
        <v>245</v>
      </c>
    </row>
    <row r="2602" spans="1:17" x14ac:dyDescent="0.25">
      <c r="A2602" t="s">
        <v>799</v>
      </c>
      <c r="B2602" t="s">
        <v>86</v>
      </c>
      <c r="C2602" s="4">
        <v>0.84850000000000003</v>
      </c>
      <c r="D2602" s="4">
        <v>0.84850000000000003</v>
      </c>
      <c r="E2602" s="4">
        <v>0.84850000000000003</v>
      </c>
      <c r="F2602" s="4">
        <v>0.84850000000000003</v>
      </c>
      <c r="G2602" s="4">
        <v>0.84850000000000003</v>
      </c>
      <c r="H2602" s="4">
        <v>0.84850000000000003</v>
      </c>
      <c r="I2602" s="4">
        <v>0.84850000000000003</v>
      </c>
      <c r="J2602" s="4">
        <v>0.84850000000000003</v>
      </c>
      <c r="K2602" s="4">
        <v>0.84850000000000003</v>
      </c>
      <c r="L2602" s="4">
        <v>0.84850000000000003</v>
      </c>
      <c r="M2602" s="4">
        <v>0.84850000000000003</v>
      </c>
      <c r="N2602" t="s">
        <v>514</v>
      </c>
      <c r="O2602" t="s">
        <v>512</v>
      </c>
      <c r="P2602" t="s">
        <v>799</v>
      </c>
      <c r="Q2602" t="s">
        <v>245</v>
      </c>
    </row>
    <row r="2603" spans="1:17" x14ac:dyDescent="0.25">
      <c r="A2603" t="s">
        <v>799</v>
      </c>
      <c r="B2603" t="s">
        <v>103</v>
      </c>
      <c r="C2603" s="4">
        <v>0.1045</v>
      </c>
      <c r="D2603" s="4">
        <v>0.1045</v>
      </c>
      <c r="E2603" s="4">
        <v>0.1045</v>
      </c>
      <c r="F2603" s="4">
        <v>0.1045</v>
      </c>
      <c r="G2603" s="4">
        <v>0.1045</v>
      </c>
      <c r="H2603" s="4">
        <v>0.1045</v>
      </c>
      <c r="I2603" s="4">
        <v>0.1045</v>
      </c>
      <c r="J2603" s="4">
        <v>0.1045</v>
      </c>
      <c r="K2603" s="4">
        <v>0.1045</v>
      </c>
      <c r="L2603" s="4">
        <v>0.1045</v>
      </c>
      <c r="M2603" s="4">
        <v>0.1045</v>
      </c>
      <c r="N2603" t="s">
        <v>514</v>
      </c>
      <c r="O2603" t="s">
        <v>512</v>
      </c>
      <c r="P2603" t="s">
        <v>799</v>
      </c>
      <c r="Q2603" t="s">
        <v>245</v>
      </c>
    </row>
    <row r="2604" spans="1:17" x14ac:dyDescent="0.25">
      <c r="A2604" t="s">
        <v>799</v>
      </c>
      <c r="B2604" t="s">
        <v>107</v>
      </c>
      <c r="C2604" s="4">
        <v>1.9E-2</v>
      </c>
      <c r="D2604" s="4">
        <v>1.9E-2</v>
      </c>
      <c r="E2604" s="4">
        <v>1.9E-2</v>
      </c>
      <c r="F2604" s="4">
        <v>1.9E-2</v>
      </c>
      <c r="G2604" s="4">
        <v>1.9E-2</v>
      </c>
      <c r="H2604" s="4">
        <v>1.9E-2</v>
      </c>
      <c r="I2604" s="4">
        <v>1.9E-2</v>
      </c>
      <c r="J2604" s="4">
        <v>1.9E-2</v>
      </c>
      <c r="K2604" s="4">
        <v>1.9E-2</v>
      </c>
      <c r="L2604" s="4">
        <v>1.9E-2</v>
      </c>
      <c r="M2604" s="4">
        <v>1.9E-2</v>
      </c>
      <c r="N2604" t="s">
        <v>514</v>
      </c>
      <c r="O2604" t="s">
        <v>512</v>
      </c>
      <c r="P2604" t="s">
        <v>799</v>
      </c>
      <c r="Q2604" t="s">
        <v>245</v>
      </c>
    </row>
    <row r="2605" spans="1:17" x14ac:dyDescent="0.25">
      <c r="A2605" t="s">
        <v>799</v>
      </c>
      <c r="B2605" t="s">
        <v>97</v>
      </c>
      <c r="C2605" s="4">
        <v>1.6E-2</v>
      </c>
      <c r="D2605" s="4">
        <v>1.6E-2</v>
      </c>
      <c r="E2605" s="4">
        <v>1.6E-2</v>
      </c>
      <c r="F2605" s="4">
        <v>1.6E-2</v>
      </c>
      <c r="G2605" s="4">
        <v>1.6E-2</v>
      </c>
      <c r="H2605" s="4">
        <v>1.6E-2</v>
      </c>
      <c r="I2605" s="4">
        <v>1.6E-2</v>
      </c>
      <c r="J2605" s="4">
        <v>1.6E-2</v>
      </c>
      <c r="K2605" s="4">
        <v>1.6E-2</v>
      </c>
      <c r="L2605" s="4">
        <v>1.6E-2</v>
      </c>
      <c r="M2605" s="4">
        <v>1.6E-2</v>
      </c>
      <c r="N2605" t="s">
        <v>514</v>
      </c>
      <c r="O2605" t="s">
        <v>512</v>
      </c>
      <c r="P2605" t="s">
        <v>799</v>
      </c>
      <c r="Q2605" t="s">
        <v>245</v>
      </c>
    </row>
    <row r="2606" spans="1:17" x14ac:dyDescent="0.25">
      <c r="A2606" t="s">
        <v>799</v>
      </c>
      <c r="B2606" t="s">
        <v>115</v>
      </c>
      <c r="C2606" s="4">
        <v>0.01</v>
      </c>
      <c r="D2606" s="4">
        <v>0.01</v>
      </c>
      <c r="E2606" s="4">
        <v>0.01</v>
      </c>
      <c r="F2606" s="4">
        <v>0.01</v>
      </c>
      <c r="G2606" s="4">
        <v>0.01</v>
      </c>
      <c r="H2606" s="4">
        <v>0.01</v>
      </c>
      <c r="I2606" s="4">
        <v>0.01</v>
      </c>
      <c r="J2606" s="4">
        <v>0.01</v>
      </c>
      <c r="K2606" s="4">
        <v>0.01</v>
      </c>
      <c r="L2606" s="4">
        <v>0.01</v>
      </c>
      <c r="M2606" s="4">
        <v>0.01</v>
      </c>
      <c r="N2606" t="s">
        <v>514</v>
      </c>
      <c r="O2606" t="s">
        <v>512</v>
      </c>
      <c r="P2606" t="s">
        <v>799</v>
      </c>
      <c r="Q2606" t="s">
        <v>245</v>
      </c>
    </row>
    <row r="2607" spans="1:17" x14ac:dyDescent="0.25">
      <c r="A2607" t="s">
        <v>799</v>
      </c>
      <c r="B2607" t="s">
        <v>132</v>
      </c>
      <c r="C2607" s="4">
        <v>1E-3</v>
      </c>
      <c r="D2607" s="4">
        <v>1E-3</v>
      </c>
      <c r="E2607" s="4">
        <v>1E-3</v>
      </c>
      <c r="F2607" s="4">
        <v>1E-3</v>
      </c>
      <c r="G2607" s="4">
        <v>1E-3</v>
      </c>
      <c r="H2607" s="4">
        <v>1E-3</v>
      </c>
      <c r="I2607" s="4">
        <v>1E-3</v>
      </c>
      <c r="J2607" s="4">
        <v>1E-3</v>
      </c>
      <c r="K2607" s="4">
        <v>1E-3</v>
      </c>
      <c r="L2607" s="4">
        <v>1E-3</v>
      </c>
      <c r="M2607" s="4">
        <v>1E-3</v>
      </c>
      <c r="N2607" t="s">
        <v>514</v>
      </c>
      <c r="O2607" t="s">
        <v>512</v>
      </c>
      <c r="P2607" t="s">
        <v>799</v>
      </c>
      <c r="Q2607" t="s">
        <v>245</v>
      </c>
    </row>
    <row r="2608" spans="1:17" x14ac:dyDescent="0.25">
      <c r="A2608" t="s">
        <v>799</v>
      </c>
      <c r="B2608" t="s">
        <v>83</v>
      </c>
      <c r="C2608" s="4">
        <v>1E-3</v>
      </c>
      <c r="D2608" s="4">
        <v>1E-3</v>
      </c>
      <c r="E2608" s="4">
        <v>1E-3</v>
      </c>
      <c r="F2608" s="4">
        <v>1E-3</v>
      </c>
      <c r="G2608" s="4">
        <v>1E-3</v>
      </c>
      <c r="H2608" s="4">
        <v>1E-3</v>
      </c>
      <c r="I2608" s="4">
        <v>1E-3</v>
      </c>
      <c r="J2608" s="4">
        <v>1E-3</v>
      </c>
      <c r="K2608" s="4">
        <v>1E-3</v>
      </c>
      <c r="L2608" s="4">
        <v>1E-3</v>
      </c>
      <c r="M2608" s="4">
        <v>1E-3</v>
      </c>
      <c r="N2608" t="s">
        <v>514</v>
      </c>
      <c r="O2608" t="s">
        <v>512</v>
      </c>
      <c r="P2608" t="s">
        <v>799</v>
      </c>
      <c r="Q2608" t="s">
        <v>245</v>
      </c>
    </row>
    <row r="2609" spans="1:18" x14ac:dyDescent="0.25">
      <c r="A2609" t="s">
        <v>66</v>
      </c>
      <c r="B2609" t="s">
        <v>145</v>
      </c>
      <c r="C2609" s="4">
        <v>0.54580152671755722</v>
      </c>
      <c r="D2609" s="4">
        <v>0.54580152671755722</v>
      </c>
      <c r="E2609" s="4">
        <v>0.54580152671755722</v>
      </c>
      <c r="F2609" s="4">
        <v>0.54580152671755722</v>
      </c>
      <c r="G2609" s="4">
        <v>0.54580152671755722</v>
      </c>
      <c r="H2609" s="4">
        <v>0.54580152671755722</v>
      </c>
      <c r="I2609" s="4">
        <v>0.54580152671755722</v>
      </c>
      <c r="J2609" s="4">
        <v>0.54580152671755722</v>
      </c>
      <c r="K2609" s="4">
        <v>0.54580152671755722</v>
      </c>
      <c r="L2609" s="4">
        <v>0.54580152671755722</v>
      </c>
      <c r="M2609" s="4">
        <v>0.54580152671755722</v>
      </c>
      <c r="N2609" t="s">
        <v>311</v>
      </c>
      <c r="O2609" t="s">
        <v>306</v>
      </c>
      <c r="P2609" t="s">
        <v>370</v>
      </c>
      <c r="Q2609" t="s">
        <v>245</v>
      </c>
      <c r="R2609" t="s">
        <v>375</v>
      </c>
    </row>
    <row r="2610" spans="1:18" x14ac:dyDescent="0.25">
      <c r="A2610" t="s">
        <v>66</v>
      </c>
      <c r="B2610" t="s">
        <v>86</v>
      </c>
      <c r="C2610" s="4">
        <v>5.7251908396946563E-2</v>
      </c>
      <c r="D2610" s="4">
        <v>5.7251908396946563E-2</v>
      </c>
      <c r="E2610" s="4">
        <v>5.7251908396946563E-2</v>
      </c>
      <c r="F2610" s="4">
        <v>5.7251908396946563E-2</v>
      </c>
      <c r="G2610" s="4">
        <v>5.7251908396946563E-2</v>
      </c>
      <c r="H2610" s="4">
        <v>5.7251908396946563E-2</v>
      </c>
      <c r="I2610" s="4">
        <v>5.7251908396946563E-2</v>
      </c>
      <c r="J2610" s="4">
        <v>5.7251908396946563E-2</v>
      </c>
      <c r="K2610" s="4">
        <v>5.7251908396946563E-2</v>
      </c>
      <c r="L2610" s="4">
        <v>5.7251908396946563E-2</v>
      </c>
      <c r="M2610" s="4">
        <v>5.7251908396946563E-2</v>
      </c>
      <c r="N2610" t="s">
        <v>254</v>
      </c>
      <c r="O2610" t="s">
        <v>306</v>
      </c>
      <c r="P2610" t="s">
        <v>370</v>
      </c>
      <c r="Q2610" t="s">
        <v>245</v>
      </c>
    </row>
    <row r="2611" spans="1:18" x14ac:dyDescent="0.25">
      <c r="A2611" t="s">
        <v>66</v>
      </c>
      <c r="B2611" t="s">
        <v>102</v>
      </c>
      <c r="C2611" s="4">
        <v>1.9083969465648859E-2</v>
      </c>
      <c r="D2611" s="4">
        <v>1.9083969465648859E-2</v>
      </c>
      <c r="E2611" s="4">
        <v>1.9083969465648859E-2</v>
      </c>
      <c r="F2611" s="4">
        <v>1.9083969465648859E-2</v>
      </c>
      <c r="G2611" s="4">
        <v>1.9083969465648859E-2</v>
      </c>
      <c r="H2611" s="4">
        <v>1.9083969465648859E-2</v>
      </c>
      <c r="I2611" s="4">
        <v>1.9083969465648859E-2</v>
      </c>
      <c r="J2611" s="4">
        <v>1.9083969465648859E-2</v>
      </c>
      <c r="K2611" s="4">
        <v>1.9083969465648859E-2</v>
      </c>
      <c r="L2611" s="4">
        <v>1.9083969465648859E-2</v>
      </c>
      <c r="M2611" s="4">
        <v>1.9083969465648859E-2</v>
      </c>
      <c r="N2611" t="s">
        <v>254</v>
      </c>
      <c r="O2611" t="s">
        <v>306</v>
      </c>
      <c r="P2611" t="s">
        <v>370</v>
      </c>
      <c r="Q2611" t="s">
        <v>245</v>
      </c>
    </row>
    <row r="2612" spans="1:18" x14ac:dyDescent="0.25">
      <c r="A2612" t="s">
        <v>66</v>
      </c>
      <c r="B2612" t="s">
        <v>151</v>
      </c>
      <c r="C2612" s="4">
        <v>0.1793893129770992</v>
      </c>
      <c r="D2612" s="4">
        <v>0.1793893129770992</v>
      </c>
      <c r="E2612" s="4">
        <v>0.1793893129770992</v>
      </c>
      <c r="F2612" s="4">
        <v>0.1793893129770992</v>
      </c>
      <c r="G2612" s="4">
        <v>0.1793893129770992</v>
      </c>
      <c r="H2612" s="4">
        <v>0.1793893129770992</v>
      </c>
      <c r="I2612" s="4">
        <v>0.1793893129770992</v>
      </c>
      <c r="J2612" s="4">
        <v>0.1793893129770992</v>
      </c>
      <c r="K2612" s="4">
        <v>0.1793893129770992</v>
      </c>
      <c r="L2612" s="4">
        <v>0.1793893129770992</v>
      </c>
      <c r="M2612" s="4">
        <v>0.1793893129770992</v>
      </c>
      <c r="N2612" t="s">
        <v>254</v>
      </c>
      <c r="O2612" t="s">
        <v>306</v>
      </c>
      <c r="P2612" t="s">
        <v>370</v>
      </c>
      <c r="Q2612" t="s">
        <v>245</v>
      </c>
    </row>
    <row r="2613" spans="1:18" x14ac:dyDescent="0.25">
      <c r="A2613" t="s">
        <v>66</v>
      </c>
      <c r="B2613" t="s">
        <v>107</v>
      </c>
      <c r="C2613" s="4">
        <v>3.8167938931297711E-2</v>
      </c>
      <c r="D2613" s="4">
        <v>3.8167938931297711E-2</v>
      </c>
      <c r="E2613" s="4">
        <v>3.8167938931297711E-2</v>
      </c>
      <c r="F2613" s="4">
        <v>3.8167938931297711E-2</v>
      </c>
      <c r="G2613" s="4">
        <v>3.8167938931297711E-2</v>
      </c>
      <c r="H2613" s="4">
        <v>3.8167938931297711E-2</v>
      </c>
      <c r="I2613" s="4">
        <v>3.8167938931297711E-2</v>
      </c>
      <c r="J2613" s="4">
        <v>3.8167938931297711E-2</v>
      </c>
      <c r="K2613" s="4">
        <v>3.8167938931297711E-2</v>
      </c>
      <c r="L2613" s="4">
        <v>3.8167938931297711E-2</v>
      </c>
      <c r="M2613" s="4">
        <v>3.8167938931297711E-2</v>
      </c>
      <c r="N2613" t="s">
        <v>254</v>
      </c>
      <c r="O2613" t="s">
        <v>306</v>
      </c>
      <c r="P2613" t="s">
        <v>370</v>
      </c>
      <c r="Q2613" t="s">
        <v>245</v>
      </c>
    </row>
    <row r="2614" spans="1:18" x14ac:dyDescent="0.25">
      <c r="A2614" t="s">
        <v>66</v>
      </c>
      <c r="B2614" t="s">
        <v>113</v>
      </c>
      <c r="C2614" s="4">
        <v>0.1603053435114504</v>
      </c>
      <c r="D2614" s="4">
        <v>0.1603053435114504</v>
      </c>
      <c r="E2614" s="4">
        <v>0.1603053435114504</v>
      </c>
      <c r="F2614" s="4">
        <v>0.1603053435114504</v>
      </c>
      <c r="G2614" s="4">
        <v>0.1603053435114504</v>
      </c>
      <c r="H2614" s="4">
        <v>0.1603053435114504</v>
      </c>
      <c r="I2614" s="4">
        <v>0.1603053435114504</v>
      </c>
      <c r="J2614" s="4">
        <v>0.1603053435114504</v>
      </c>
      <c r="K2614" s="4">
        <v>0.1603053435114504</v>
      </c>
      <c r="L2614" s="4">
        <v>0.1603053435114504</v>
      </c>
      <c r="M2614" s="4">
        <v>0.1603053435114504</v>
      </c>
      <c r="N2614" t="s">
        <v>276</v>
      </c>
      <c r="O2614" t="s">
        <v>306</v>
      </c>
      <c r="P2614" t="s">
        <v>370</v>
      </c>
      <c r="Q2614" t="s">
        <v>245</v>
      </c>
    </row>
    <row r="2615" spans="1:18" x14ac:dyDescent="0.25">
      <c r="A2615" t="s">
        <v>803</v>
      </c>
      <c r="B2615" t="s">
        <v>137</v>
      </c>
      <c r="C2615" s="4">
        <v>0.93500000000000005</v>
      </c>
      <c r="D2615" s="4">
        <v>0.93500000000000005</v>
      </c>
      <c r="E2615" s="4">
        <v>0.93500000000000005</v>
      </c>
      <c r="F2615" s="4">
        <v>0.93500000000000005</v>
      </c>
      <c r="G2615" s="4">
        <v>0.93500000000000005</v>
      </c>
      <c r="H2615" s="4">
        <v>0.93500000000000005</v>
      </c>
      <c r="I2615" s="4">
        <v>0.93500000000000005</v>
      </c>
      <c r="J2615" s="4">
        <v>0.93500000000000005</v>
      </c>
      <c r="K2615" s="4">
        <v>0.93500000000000005</v>
      </c>
      <c r="L2615" s="4">
        <v>0.93500000000000005</v>
      </c>
      <c r="M2615" s="4">
        <v>0.93500000000000005</v>
      </c>
      <c r="N2615" t="s">
        <v>320</v>
      </c>
      <c r="O2615" t="s">
        <v>337</v>
      </c>
      <c r="P2615" t="s">
        <v>803</v>
      </c>
      <c r="Q2615" t="s">
        <v>245</v>
      </c>
    </row>
    <row r="2616" spans="1:18" x14ac:dyDescent="0.25">
      <c r="A2616" t="s">
        <v>803</v>
      </c>
      <c r="B2616" t="s">
        <v>158</v>
      </c>
      <c r="C2616" s="4">
        <v>4.9000000000000002E-2</v>
      </c>
      <c r="D2616" s="4">
        <v>4.9000000000000002E-2</v>
      </c>
      <c r="E2616" s="4">
        <v>4.9000000000000002E-2</v>
      </c>
      <c r="F2616" s="4">
        <v>4.9000000000000002E-2</v>
      </c>
      <c r="G2616" s="4">
        <v>4.9000000000000002E-2</v>
      </c>
      <c r="H2616" s="4">
        <v>4.9000000000000002E-2</v>
      </c>
      <c r="I2616" s="4">
        <v>4.9000000000000002E-2</v>
      </c>
      <c r="J2616" s="4">
        <v>4.9000000000000002E-2</v>
      </c>
      <c r="K2616" s="4">
        <v>4.9000000000000002E-2</v>
      </c>
      <c r="L2616" s="4">
        <v>4.9000000000000002E-2</v>
      </c>
      <c r="M2616" s="4">
        <v>4.9000000000000002E-2</v>
      </c>
      <c r="N2616" t="s">
        <v>320</v>
      </c>
      <c r="O2616" t="s">
        <v>337</v>
      </c>
      <c r="P2616" t="s">
        <v>803</v>
      </c>
      <c r="Q2616" t="s">
        <v>245</v>
      </c>
    </row>
    <row r="2617" spans="1:18" x14ac:dyDescent="0.25">
      <c r="A2617" t="s">
        <v>803</v>
      </c>
      <c r="B2617" t="s">
        <v>116</v>
      </c>
      <c r="C2617" s="4">
        <v>1.4E-2</v>
      </c>
      <c r="D2617" s="4">
        <v>1.4E-2</v>
      </c>
      <c r="E2617" s="4">
        <v>1.4E-2</v>
      </c>
      <c r="F2617" s="4">
        <v>1.4E-2</v>
      </c>
      <c r="G2617" s="4">
        <v>1.4E-2</v>
      </c>
      <c r="H2617" s="4">
        <v>1.4E-2</v>
      </c>
      <c r="I2617" s="4">
        <v>1.4E-2</v>
      </c>
      <c r="J2617" s="4">
        <v>1.4E-2</v>
      </c>
      <c r="K2617" s="4">
        <v>1.4E-2</v>
      </c>
      <c r="L2617" s="4">
        <v>1.4E-2</v>
      </c>
      <c r="M2617" s="4">
        <v>1.4E-2</v>
      </c>
      <c r="N2617" t="s">
        <v>312</v>
      </c>
      <c r="O2617" t="s">
        <v>337</v>
      </c>
      <c r="P2617" t="s">
        <v>803</v>
      </c>
      <c r="Q2617" t="s">
        <v>245</v>
      </c>
    </row>
    <row r="2618" spans="1:18" x14ac:dyDescent="0.25">
      <c r="A2618" t="s">
        <v>803</v>
      </c>
      <c r="B2618" t="s">
        <v>107</v>
      </c>
      <c r="C2618" s="4">
        <v>1E-3</v>
      </c>
      <c r="D2618" s="4">
        <v>1E-3</v>
      </c>
      <c r="E2618" s="4">
        <v>1E-3</v>
      </c>
      <c r="F2618" s="4">
        <v>1E-3</v>
      </c>
      <c r="G2618" s="4">
        <v>1E-3</v>
      </c>
      <c r="H2618" s="4">
        <v>1E-3</v>
      </c>
      <c r="I2618" s="4">
        <v>1E-3</v>
      </c>
      <c r="J2618" s="4">
        <v>1E-3</v>
      </c>
      <c r="K2618" s="4">
        <v>1E-3</v>
      </c>
      <c r="L2618" s="4">
        <v>1E-3</v>
      </c>
      <c r="M2618" s="4">
        <v>1E-3</v>
      </c>
      <c r="N2618" t="s">
        <v>312</v>
      </c>
      <c r="O2618" t="s">
        <v>337</v>
      </c>
      <c r="P2618" t="s">
        <v>803</v>
      </c>
      <c r="Q2618" t="s">
        <v>245</v>
      </c>
    </row>
    <row r="2619" spans="1:18" x14ac:dyDescent="0.25">
      <c r="A2619" t="s">
        <v>574</v>
      </c>
      <c r="B2619" t="s">
        <v>164</v>
      </c>
      <c r="C2619" s="4">
        <f t="shared" ref="C2619:M2619" si="1306">(0.501285425540793/(0.501285425540793+0.247997156571988+0.247997156571988)) * 0.563443768311922%</f>
        <v>2.8321657225187889E-3</v>
      </c>
      <c r="D2619" s="4">
        <f t="shared" si="1306"/>
        <v>2.8321657225187889E-3</v>
      </c>
      <c r="E2619" s="4">
        <f t="shared" si="1306"/>
        <v>2.8321657225187889E-3</v>
      </c>
      <c r="F2619" s="4">
        <f t="shared" si="1306"/>
        <v>2.8321657225187889E-3</v>
      </c>
      <c r="G2619" s="4">
        <f t="shared" si="1306"/>
        <v>2.8321657225187889E-3</v>
      </c>
      <c r="H2619" s="4">
        <f t="shared" si="1306"/>
        <v>2.8321657225187889E-3</v>
      </c>
      <c r="I2619" s="4">
        <f t="shared" si="1306"/>
        <v>2.8321657225187889E-3</v>
      </c>
      <c r="J2619" s="4">
        <f t="shared" si="1306"/>
        <v>2.8321657225187889E-3</v>
      </c>
      <c r="K2619" s="4">
        <f t="shared" si="1306"/>
        <v>2.8321657225187889E-3</v>
      </c>
      <c r="L2619" s="4">
        <f t="shared" si="1306"/>
        <v>2.8321657225187889E-3</v>
      </c>
      <c r="M2619" s="4">
        <f t="shared" si="1306"/>
        <v>2.8321657225187889E-3</v>
      </c>
      <c r="N2619" t="s">
        <v>242</v>
      </c>
      <c r="O2619" t="s">
        <v>358</v>
      </c>
      <c r="P2619" t="s">
        <v>397</v>
      </c>
      <c r="Q2619" t="s">
        <v>245</v>
      </c>
      <c r="R2619" s="5" t="s">
        <v>395</v>
      </c>
    </row>
    <row r="2620" spans="1:18" x14ac:dyDescent="0.25">
      <c r="A2620" t="s">
        <v>574</v>
      </c>
      <c r="B2620" t="s">
        <v>164</v>
      </c>
      <c r="C2620" s="4">
        <f t="shared" ref="C2620:M2620" si="1307">((0.247997156571988+0.247997156571988)/(0.501285425540793+0.247997156571988+0.247997156571988)) * 0.563443768311922%</f>
        <v>2.8022719606004306E-3</v>
      </c>
      <c r="D2620" s="4">
        <f t="shared" si="1307"/>
        <v>2.8022719606004306E-3</v>
      </c>
      <c r="E2620" s="4">
        <f t="shared" si="1307"/>
        <v>2.8022719606004306E-3</v>
      </c>
      <c r="F2620" s="4">
        <f t="shared" si="1307"/>
        <v>2.8022719606004306E-3</v>
      </c>
      <c r="G2620" s="4">
        <f t="shared" si="1307"/>
        <v>2.8022719606004306E-3</v>
      </c>
      <c r="H2620" s="4">
        <f t="shared" si="1307"/>
        <v>2.8022719606004306E-3</v>
      </c>
      <c r="I2620" s="4">
        <f t="shared" si="1307"/>
        <v>2.8022719606004306E-3</v>
      </c>
      <c r="J2620" s="4">
        <f t="shared" si="1307"/>
        <v>2.8022719606004306E-3</v>
      </c>
      <c r="K2620" s="4">
        <f t="shared" si="1307"/>
        <v>2.8022719606004306E-3</v>
      </c>
      <c r="L2620" s="4">
        <f t="shared" si="1307"/>
        <v>2.8022719606004306E-3</v>
      </c>
      <c r="M2620" s="4">
        <f t="shared" si="1307"/>
        <v>2.8022719606004306E-3</v>
      </c>
      <c r="N2620" t="s">
        <v>256</v>
      </c>
      <c r="O2620" t="s">
        <v>396</v>
      </c>
      <c r="P2620" t="s">
        <v>397</v>
      </c>
      <c r="Q2620" t="s">
        <v>245</v>
      </c>
    </row>
    <row r="2621" spans="1:18" x14ac:dyDescent="0.25">
      <c r="A2621" t="s">
        <v>574</v>
      </c>
      <c r="B2621" t="s">
        <v>163</v>
      </c>
      <c r="C2621" s="4">
        <f t="shared" ref="C2621:M2621" si="1308">(0.501285425540793/(0.501285425540793+0.247997156571988+0.247997156571988)) * 5.63443768311922%</f>
        <v>2.8321657225187889E-2</v>
      </c>
      <c r="D2621" s="4">
        <f t="shared" si="1308"/>
        <v>2.8321657225187889E-2</v>
      </c>
      <c r="E2621" s="4">
        <f t="shared" si="1308"/>
        <v>2.8321657225187889E-2</v>
      </c>
      <c r="F2621" s="4">
        <f t="shared" si="1308"/>
        <v>2.8321657225187889E-2</v>
      </c>
      <c r="G2621" s="4">
        <f t="shared" si="1308"/>
        <v>2.8321657225187889E-2</v>
      </c>
      <c r="H2621" s="4">
        <f t="shared" si="1308"/>
        <v>2.8321657225187889E-2</v>
      </c>
      <c r="I2621" s="4">
        <f t="shared" si="1308"/>
        <v>2.8321657225187889E-2</v>
      </c>
      <c r="J2621" s="4">
        <f t="shared" si="1308"/>
        <v>2.8321657225187889E-2</v>
      </c>
      <c r="K2621" s="4">
        <f t="shared" si="1308"/>
        <v>2.8321657225187889E-2</v>
      </c>
      <c r="L2621" s="4">
        <f t="shared" si="1308"/>
        <v>2.8321657225187889E-2</v>
      </c>
      <c r="M2621" s="4">
        <f t="shared" si="1308"/>
        <v>2.8321657225187889E-2</v>
      </c>
      <c r="N2621" t="s">
        <v>242</v>
      </c>
      <c r="O2621" t="s">
        <v>358</v>
      </c>
      <c r="P2621" t="s">
        <v>397</v>
      </c>
      <c r="Q2621" t="s">
        <v>245</v>
      </c>
    </row>
    <row r="2622" spans="1:18" x14ac:dyDescent="0.25">
      <c r="A2622" t="s">
        <v>574</v>
      </c>
      <c r="B2622" t="s">
        <v>163</v>
      </c>
      <c r="C2622" s="4">
        <f t="shared" ref="C2622:M2622" si="1309">((0.247997156571988+0.247997156571988)/(0.501285425540793+0.247997156571988+0.247997156571988)) * 5.63443768311922%</f>
        <v>2.8022719606004304E-2</v>
      </c>
      <c r="D2622" s="4">
        <f t="shared" si="1309"/>
        <v>2.8022719606004304E-2</v>
      </c>
      <c r="E2622" s="4">
        <f t="shared" si="1309"/>
        <v>2.8022719606004304E-2</v>
      </c>
      <c r="F2622" s="4">
        <f t="shared" si="1309"/>
        <v>2.8022719606004304E-2</v>
      </c>
      <c r="G2622" s="4">
        <f t="shared" si="1309"/>
        <v>2.8022719606004304E-2</v>
      </c>
      <c r="H2622" s="4">
        <f t="shared" si="1309"/>
        <v>2.8022719606004304E-2</v>
      </c>
      <c r="I2622" s="4">
        <f t="shared" si="1309"/>
        <v>2.8022719606004304E-2</v>
      </c>
      <c r="J2622" s="4">
        <f t="shared" si="1309"/>
        <v>2.8022719606004304E-2</v>
      </c>
      <c r="K2622" s="4">
        <f t="shared" si="1309"/>
        <v>2.8022719606004304E-2</v>
      </c>
      <c r="L2622" s="4">
        <f t="shared" si="1309"/>
        <v>2.8022719606004304E-2</v>
      </c>
      <c r="M2622" s="4">
        <f t="shared" si="1309"/>
        <v>2.8022719606004304E-2</v>
      </c>
      <c r="N2622" t="s">
        <v>333</v>
      </c>
      <c r="O2622" t="s">
        <v>396</v>
      </c>
      <c r="P2622" t="s">
        <v>397</v>
      </c>
      <c r="Q2622" t="s">
        <v>245</v>
      </c>
    </row>
    <row r="2623" spans="1:18" x14ac:dyDescent="0.25">
      <c r="A2623" t="s">
        <v>574</v>
      </c>
      <c r="B2623" t="s">
        <v>116</v>
      </c>
      <c r="C2623" s="4">
        <f t="shared" ref="C2623:M2623" si="1310">(0.501285425540793/(0.501285425540793+0.247997156571988+0.247997156571988)) * 2.21433400946585%</f>
        <v>1.1130411289498824E-2</v>
      </c>
      <c r="D2623" s="4">
        <f t="shared" si="1310"/>
        <v>1.1130411289498824E-2</v>
      </c>
      <c r="E2623" s="4">
        <f t="shared" si="1310"/>
        <v>1.1130411289498824E-2</v>
      </c>
      <c r="F2623" s="4">
        <f t="shared" si="1310"/>
        <v>1.1130411289498824E-2</v>
      </c>
      <c r="G2623" s="4">
        <f t="shared" si="1310"/>
        <v>1.1130411289498824E-2</v>
      </c>
      <c r="H2623" s="4">
        <f t="shared" si="1310"/>
        <v>1.1130411289498824E-2</v>
      </c>
      <c r="I2623" s="4">
        <f t="shared" si="1310"/>
        <v>1.1130411289498824E-2</v>
      </c>
      <c r="J2623" s="4">
        <f t="shared" si="1310"/>
        <v>1.1130411289498824E-2</v>
      </c>
      <c r="K2623" s="4">
        <f t="shared" si="1310"/>
        <v>1.1130411289498824E-2</v>
      </c>
      <c r="L2623" s="4">
        <f t="shared" si="1310"/>
        <v>1.1130411289498824E-2</v>
      </c>
      <c r="M2623" s="4">
        <f t="shared" si="1310"/>
        <v>1.1130411289498824E-2</v>
      </c>
      <c r="N2623" t="s">
        <v>242</v>
      </c>
      <c r="O2623" t="s">
        <v>358</v>
      </c>
      <c r="P2623" t="s">
        <v>397</v>
      </c>
      <c r="Q2623" t="s">
        <v>245</v>
      </c>
    </row>
    <row r="2624" spans="1:18" x14ac:dyDescent="0.25">
      <c r="A2624" t="s">
        <v>574</v>
      </c>
      <c r="B2624" t="s">
        <v>116</v>
      </c>
      <c r="C2624" s="4">
        <f t="shared" ref="C2624:M2624" si="1311">((0.247997156571988+0.247997156571988)/(0.501285425540793+0.247997156571988+0.247997156571988)) * 2.21433400946585%</f>
        <v>1.1012928805159675E-2</v>
      </c>
      <c r="D2624" s="4">
        <f t="shared" si="1311"/>
        <v>1.1012928805159675E-2</v>
      </c>
      <c r="E2624" s="4">
        <f t="shared" si="1311"/>
        <v>1.1012928805159675E-2</v>
      </c>
      <c r="F2624" s="4">
        <f t="shared" si="1311"/>
        <v>1.1012928805159675E-2</v>
      </c>
      <c r="G2624" s="4">
        <f t="shared" si="1311"/>
        <v>1.1012928805159675E-2</v>
      </c>
      <c r="H2624" s="4">
        <f t="shared" si="1311"/>
        <v>1.1012928805159675E-2</v>
      </c>
      <c r="I2624" s="4">
        <f t="shared" si="1311"/>
        <v>1.1012928805159675E-2</v>
      </c>
      <c r="J2624" s="4">
        <f t="shared" si="1311"/>
        <v>1.1012928805159675E-2</v>
      </c>
      <c r="K2624" s="4">
        <f t="shared" si="1311"/>
        <v>1.1012928805159675E-2</v>
      </c>
      <c r="L2624" s="4">
        <f t="shared" si="1311"/>
        <v>1.1012928805159675E-2</v>
      </c>
      <c r="M2624" s="4">
        <f t="shared" si="1311"/>
        <v>1.1012928805159675E-2</v>
      </c>
      <c r="N2624" t="s">
        <v>256</v>
      </c>
      <c r="O2624" t="s">
        <v>396</v>
      </c>
      <c r="P2624" t="s">
        <v>397</v>
      </c>
      <c r="Q2624" t="s">
        <v>245</v>
      </c>
    </row>
    <row r="2625" spans="1:17" x14ac:dyDescent="0.25">
      <c r="A2625" t="s">
        <v>574</v>
      </c>
      <c r="B2625" t="s">
        <v>145</v>
      </c>
      <c r="C2625" s="4">
        <f t="shared" ref="C2625:M2625" si="1312">(0.501285425540793/(0.501285425540793+0.247997156571988+0.247997156571988)) * 2.81721884155961%</f>
        <v>1.4160828612593945E-2</v>
      </c>
      <c r="D2625" s="4">
        <f t="shared" si="1312"/>
        <v>1.4160828612593945E-2</v>
      </c>
      <c r="E2625" s="4">
        <f t="shared" si="1312"/>
        <v>1.4160828612593945E-2</v>
      </c>
      <c r="F2625" s="4">
        <f t="shared" si="1312"/>
        <v>1.4160828612593945E-2</v>
      </c>
      <c r="G2625" s="4">
        <f t="shared" si="1312"/>
        <v>1.4160828612593945E-2</v>
      </c>
      <c r="H2625" s="4">
        <f t="shared" si="1312"/>
        <v>1.4160828612593945E-2</v>
      </c>
      <c r="I2625" s="4">
        <f t="shared" si="1312"/>
        <v>1.4160828612593945E-2</v>
      </c>
      <c r="J2625" s="4">
        <f t="shared" si="1312"/>
        <v>1.4160828612593945E-2</v>
      </c>
      <c r="K2625" s="4">
        <f t="shared" si="1312"/>
        <v>1.4160828612593945E-2</v>
      </c>
      <c r="L2625" s="4">
        <f t="shared" si="1312"/>
        <v>1.4160828612593945E-2</v>
      </c>
      <c r="M2625" s="4">
        <f t="shared" si="1312"/>
        <v>1.4160828612593945E-2</v>
      </c>
      <c r="N2625" t="s">
        <v>242</v>
      </c>
      <c r="O2625" t="s">
        <v>358</v>
      </c>
      <c r="P2625" t="s">
        <v>397</v>
      </c>
      <c r="Q2625" t="s">
        <v>245</v>
      </c>
    </row>
    <row r="2626" spans="1:17" x14ac:dyDescent="0.25">
      <c r="A2626" t="s">
        <v>574</v>
      </c>
      <c r="B2626" t="s">
        <v>145</v>
      </c>
      <c r="C2626" s="4">
        <f t="shared" ref="C2626:M2626" si="1313">((0.247997156571988+0.247997156571988)/(0.501285425540793+0.247997156571988+0.247997156571988)) * 2.81721884155961%</f>
        <v>1.4011359803002152E-2</v>
      </c>
      <c r="D2626" s="4">
        <f t="shared" si="1313"/>
        <v>1.4011359803002152E-2</v>
      </c>
      <c r="E2626" s="4">
        <f t="shared" si="1313"/>
        <v>1.4011359803002152E-2</v>
      </c>
      <c r="F2626" s="4">
        <f t="shared" si="1313"/>
        <v>1.4011359803002152E-2</v>
      </c>
      <c r="G2626" s="4">
        <f t="shared" si="1313"/>
        <v>1.4011359803002152E-2</v>
      </c>
      <c r="H2626" s="4">
        <f t="shared" si="1313"/>
        <v>1.4011359803002152E-2</v>
      </c>
      <c r="I2626" s="4">
        <f t="shared" si="1313"/>
        <v>1.4011359803002152E-2</v>
      </c>
      <c r="J2626" s="4">
        <f t="shared" si="1313"/>
        <v>1.4011359803002152E-2</v>
      </c>
      <c r="K2626" s="4">
        <f t="shared" si="1313"/>
        <v>1.4011359803002152E-2</v>
      </c>
      <c r="L2626" s="4">
        <f t="shared" si="1313"/>
        <v>1.4011359803002152E-2</v>
      </c>
      <c r="M2626" s="4">
        <f t="shared" si="1313"/>
        <v>1.4011359803002152E-2</v>
      </c>
      <c r="N2626" t="s">
        <v>256</v>
      </c>
      <c r="O2626" t="s">
        <v>396</v>
      </c>
      <c r="P2626" t="s">
        <v>397</v>
      </c>
      <c r="Q2626" t="s">
        <v>245</v>
      </c>
    </row>
    <row r="2627" spans="1:17" x14ac:dyDescent="0.25">
      <c r="A2627" t="s">
        <v>574</v>
      </c>
      <c r="B2627" t="s">
        <v>86</v>
      </c>
      <c r="C2627" s="4">
        <f t="shared" ref="C2627:M2627" si="1314">(0.501285425540793/(0.501285425540793+0.247997156571988+0.247997156571988)) * 35.1476222672977%</f>
        <v>0.17667049777072208</v>
      </c>
      <c r="D2627" s="4">
        <f t="shared" si="1314"/>
        <v>0.17667049777072208</v>
      </c>
      <c r="E2627" s="4">
        <f t="shared" si="1314"/>
        <v>0.17667049777072208</v>
      </c>
      <c r="F2627" s="4">
        <f t="shared" si="1314"/>
        <v>0.17667049777072208</v>
      </c>
      <c r="G2627" s="4">
        <f t="shared" si="1314"/>
        <v>0.17667049777072208</v>
      </c>
      <c r="H2627" s="4">
        <f t="shared" si="1314"/>
        <v>0.17667049777072208</v>
      </c>
      <c r="I2627" s="4">
        <f t="shared" si="1314"/>
        <v>0.17667049777072208</v>
      </c>
      <c r="J2627" s="4">
        <f t="shared" si="1314"/>
        <v>0.17667049777072208</v>
      </c>
      <c r="K2627" s="4">
        <f t="shared" si="1314"/>
        <v>0.17667049777072208</v>
      </c>
      <c r="L2627" s="4">
        <f t="shared" si="1314"/>
        <v>0.17667049777072208</v>
      </c>
      <c r="M2627" s="4">
        <f t="shared" si="1314"/>
        <v>0.17667049777072208</v>
      </c>
      <c r="N2627" t="s">
        <v>242</v>
      </c>
      <c r="O2627" t="s">
        <v>358</v>
      </c>
      <c r="P2627" t="s">
        <v>397</v>
      </c>
      <c r="Q2627" t="s">
        <v>245</v>
      </c>
    </row>
    <row r="2628" spans="1:17" x14ac:dyDescent="0.25">
      <c r="A2628" t="s">
        <v>574</v>
      </c>
      <c r="B2628" t="s">
        <v>86</v>
      </c>
      <c r="C2628" s="4">
        <f t="shared" ref="C2628:M2628" si="1315">((0.247997156571988+0.247997156571988)/(0.501285425540793+0.247997156571988+0.247997156571988)) * 35.1476222672977%</f>
        <v>0.17480572490225488</v>
      </c>
      <c r="D2628" s="4">
        <f t="shared" si="1315"/>
        <v>0.17480572490225488</v>
      </c>
      <c r="E2628" s="4">
        <f t="shared" si="1315"/>
        <v>0.17480572490225488</v>
      </c>
      <c r="F2628" s="4">
        <f t="shared" si="1315"/>
        <v>0.17480572490225488</v>
      </c>
      <c r="G2628" s="4">
        <f t="shared" si="1315"/>
        <v>0.17480572490225488</v>
      </c>
      <c r="H2628" s="4">
        <f t="shared" si="1315"/>
        <v>0.17480572490225488</v>
      </c>
      <c r="I2628" s="4">
        <f t="shared" si="1315"/>
        <v>0.17480572490225488</v>
      </c>
      <c r="J2628" s="4">
        <f t="shared" si="1315"/>
        <v>0.17480572490225488</v>
      </c>
      <c r="K2628" s="4">
        <f t="shared" si="1315"/>
        <v>0.17480572490225488</v>
      </c>
      <c r="L2628" s="4">
        <f t="shared" si="1315"/>
        <v>0.17480572490225488</v>
      </c>
      <c r="M2628" s="4">
        <f t="shared" si="1315"/>
        <v>0.17480572490225488</v>
      </c>
      <c r="N2628" t="s">
        <v>256</v>
      </c>
      <c r="O2628" t="s">
        <v>396</v>
      </c>
      <c r="P2628" t="s">
        <v>397</v>
      </c>
      <c r="Q2628" t="s">
        <v>245</v>
      </c>
    </row>
    <row r="2629" spans="1:17" x14ac:dyDescent="0.25">
      <c r="A2629" t="s">
        <v>574</v>
      </c>
      <c r="B2629" t="s">
        <v>154</v>
      </c>
      <c r="C2629" s="4">
        <f t="shared" ref="C2629:M2629" si="1316">(0.501285425540793/(0.501285425540793+0.247997156571988+0.247997156571988)) * 2.86229434302457%</f>
        <v>1.4387401870395477E-2</v>
      </c>
      <c r="D2629" s="4">
        <f t="shared" si="1316"/>
        <v>1.4387401870395477E-2</v>
      </c>
      <c r="E2629" s="4">
        <f t="shared" si="1316"/>
        <v>1.4387401870395477E-2</v>
      </c>
      <c r="F2629" s="4">
        <f t="shared" si="1316"/>
        <v>1.4387401870395477E-2</v>
      </c>
      <c r="G2629" s="4">
        <f t="shared" si="1316"/>
        <v>1.4387401870395477E-2</v>
      </c>
      <c r="H2629" s="4">
        <f t="shared" si="1316"/>
        <v>1.4387401870395477E-2</v>
      </c>
      <c r="I2629" s="4">
        <f t="shared" si="1316"/>
        <v>1.4387401870395477E-2</v>
      </c>
      <c r="J2629" s="4">
        <f t="shared" si="1316"/>
        <v>1.4387401870395477E-2</v>
      </c>
      <c r="K2629" s="4">
        <f t="shared" si="1316"/>
        <v>1.4387401870395477E-2</v>
      </c>
      <c r="L2629" s="4">
        <f t="shared" si="1316"/>
        <v>1.4387401870395477E-2</v>
      </c>
      <c r="M2629" s="4">
        <f t="shared" si="1316"/>
        <v>1.4387401870395477E-2</v>
      </c>
      <c r="N2629" t="s">
        <v>242</v>
      </c>
      <c r="O2629" t="s">
        <v>358</v>
      </c>
      <c r="P2629" t="s">
        <v>397</v>
      </c>
      <c r="Q2629" t="s">
        <v>245</v>
      </c>
    </row>
    <row r="2630" spans="1:17" x14ac:dyDescent="0.25">
      <c r="A2630" t="s">
        <v>574</v>
      </c>
      <c r="B2630" t="s">
        <v>154</v>
      </c>
      <c r="C2630" s="4">
        <f t="shared" ref="C2630:M2630" si="1317">((0.247997156571988+0.247997156571988)/(0.501285425540793+0.247997156571988+0.247997156571988)) * 2.86229434302457%</f>
        <v>1.4235541559850217E-2</v>
      </c>
      <c r="D2630" s="4">
        <f t="shared" si="1317"/>
        <v>1.4235541559850217E-2</v>
      </c>
      <c r="E2630" s="4">
        <f t="shared" si="1317"/>
        <v>1.4235541559850217E-2</v>
      </c>
      <c r="F2630" s="4">
        <f t="shared" si="1317"/>
        <v>1.4235541559850217E-2</v>
      </c>
      <c r="G2630" s="4">
        <f t="shared" si="1317"/>
        <v>1.4235541559850217E-2</v>
      </c>
      <c r="H2630" s="4">
        <f t="shared" si="1317"/>
        <v>1.4235541559850217E-2</v>
      </c>
      <c r="I2630" s="4">
        <f t="shared" si="1317"/>
        <v>1.4235541559850217E-2</v>
      </c>
      <c r="J2630" s="4">
        <f t="shared" si="1317"/>
        <v>1.4235541559850217E-2</v>
      </c>
      <c r="K2630" s="4">
        <f t="shared" si="1317"/>
        <v>1.4235541559850217E-2</v>
      </c>
      <c r="L2630" s="4">
        <f t="shared" si="1317"/>
        <v>1.4235541559850217E-2</v>
      </c>
      <c r="M2630" s="4">
        <f t="shared" si="1317"/>
        <v>1.4235541559850217E-2</v>
      </c>
      <c r="N2630" t="s">
        <v>333</v>
      </c>
      <c r="O2630" t="s">
        <v>396</v>
      </c>
      <c r="P2630" t="s">
        <v>397</v>
      </c>
      <c r="Q2630" t="s">
        <v>245</v>
      </c>
    </row>
    <row r="2631" spans="1:17" x14ac:dyDescent="0.25">
      <c r="A2631" t="s">
        <v>574</v>
      </c>
      <c r="B2631" t="s">
        <v>117</v>
      </c>
      <c r="C2631" s="4">
        <f t="shared" ref="C2631:M2631" si="1318">(0.501285425540793/(0.501285425540793+0.247997156571988+0.247997156571988)) * 10.6490872210953%</f>
        <v>5.3527932155604981E-2</v>
      </c>
      <c r="D2631" s="4">
        <f t="shared" si="1318"/>
        <v>5.3527932155604981E-2</v>
      </c>
      <c r="E2631" s="4">
        <f t="shared" si="1318"/>
        <v>5.3527932155604981E-2</v>
      </c>
      <c r="F2631" s="4">
        <f t="shared" si="1318"/>
        <v>5.3527932155604981E-2</v>
      </c>
      <c r="G2631" s="4">
        <f t="shared" si="1318"/>
        <v>5.3527932155604981E-2</v>
      </c>
      <c r="H2631" s="4">
        <f t="shared" si="1318"/>
        <v>5.3527932155604981E-2</v>
      </c>
      <c r="I2631" s="4">
        <f t="shared" si="1318"/>
        <v>5.3527932155604981E-2</v>
      </c>
      <c r="J2631" s="4">
        <f t="shared" si="1318"/>
        <v>5.3527932155604981E-2</v>
      </c>
      <c r="K2631" s="4">
        <f t="shared" si="1318"/>
        <v>5.3527932155604981E-2</v>
      </c>
      <c r="L2631" s="4">
        <f t="shared" si="1318"/>
        <v>5.3527932155604981E-2</v>
      </c>
      <c r="M2631" s="4">
        <f t="shared" si="1318"/>
        <v>5.3527932155604981E-2</v>
      </c>
      <c r="N2631" t="s">
        <v>242</v>
      </c>
      <c r="O2631" t="s">
        <v>358</v>
      </c>
      <c r="P2631" t="s">
        <v>397</v>
      </c>
      <c r="Q2631" t="s">
        <v>245</v>
      </c>
    </row>
    <row r="2632" spans="1:17" x14ac:dyDescent="0.25">
      <c r="A2632" t="s">
        <v>574</v>
      </c>
      <c r="B2632" t="s">
        <v>117</v>
      </c>
      <c r="C2632" s="4">
        <f t="shared" ref="C2632:M2632" si="1319">((0.247997156571988+0.247997156571988)/(0.501285425540793+0.247997156571988+0.247997156571988)) * 10.6490872210953%</f>
        <v>5.2962940055348011E-2</v>
      </c>
      <c r="D2632" s="4">
        <f t="shared" si="1319"/>
        <v>5.2962940055348011E-2</v>
      </c>
      <c r="E2632" s="4">
        <f t="shared" si="1319"/>
        <v>5.2962940055348011E-2</v>
      </c>
      <c r="F2632" s="4">
        <f t="shared" si="1319"/>
        <v>5.2962940055348011E-2</v>
      </c>
      <c r="G2632" s="4">
        <f t="shared" si="1319"/>
        <v>5.2962940055348011E-2</v>
      </c>
      <c r="H2632" s="4">
        <f t="shared" si="1319"/>
        <v>5.2962940055348011E-2</v>
      </c>
      <c r="I2632" s="4">
        <f t="shared" si="1319"/>
        <v>5.2962940055348011E-2</v>
      </c>
      <c r="J2632" s="4">
        <f t="shared" si="1319"/>
        <v>5.2962940055348011E-2</v>
      </c>
      <c r="K2632" s="4">
        <f t="shared" si="1319"/>
        <v>5.2962940055348011E-2</v>
      </c>
      <c r="L2632" s="4">
        <f t="shared" si="1319"/>
        <v>5.2962940055348011E-2</v>
      </c>
      <c r="M2632" s="4">
        <f t="shared" si="1319"/>
        <v>5.2962940055348011E-2</v>
      </c>
      <c r="N2632" t="s">
        <v>333</v>
      </c>
      <c r="O2632" t="s">
        <v>396</v>
      </c>
      <c r="P2632" t="s">
        <v>397</v>
      </c>
      <c r="Q2632" t="s">
        <v>245</v>
      </c>
    </row>
    <row r="2633" spans="1:17" x14ac:dyDescent="0.25">
      <c r="A2633" t="s">
        <v>574</v>
      </c>
      <c r="B2633" t="s">
        <v>119</v>
      </c>
      <c r="C2633" s="4">
        <f t="shared" ref="C2633:M2633" si="1320">(0.501285425540793/(0.501285425540793+0.247997156571988+0.247997156571988)) * 20.9995492449853%</f>
        <v>0.1055548164782751</v>
      </c>
      <c r="D2633" s="4">
        <f t="shared" si="1320"/>
        <v>0.1055548164782751</v>
      </c>
      <c r="E2633" s="4">
        <f t="shared" si="1320"/>
        <v>0.1055548164782751</v>
      </c>
      <c r="F2633" s="4">
        <f t="shared" si="1320"/>
        <v>0.1055548164782751</v>
      </c>
      <c r="G2633" s="4">
        <f t="shared" si="1320"/>
        <v>0.1055548164782751</v>
      </c>
      <c r="H2633" s="4">
        <f t="shared" si="1320"/>
        <v>0.1055548164782751</v>
      </c>
      <c r="I2633" s="4">
        <f t="shared" si="1320"/>
        <v>0.1055548164782751</v>
      </c>
      <c r="J2633" s="4">
        <f t="shared" si="1320"/>
        <v>0.1055548164782751</v>
      </c>
      <c r="K2633" s="4">
        <f t="shared" si="1320"/>
        <v>0.1055548164782751</v>
      </c>
      <c r="L2633" s="4">
        <f t="shared" si="1320"/>
        <v>0.1055548164782751</v>
      </c>
      <c r="M2633" s="4">
        <f t="shared" si="1320"/>
        <v>0.1055548164782751</v>
      </c>
      <c r="N2633" t="s">
        <v>242</v>
      </c>
      <c r="O2633" t="s">
        <v>358</v>
      </c>
      <c r="P2633" t="s">
        <v>397</v>
      </c>
      <c r="Q2633" t="s">
        <v>245</v>
      </c>
    </row>
    <row r="2634" spans="1:17" x14ac:dyDescent="0.25">
      <c r="A2634" t="s">
        <v>574</v>
      </c>
      <c r="B2634" t="s">
        <v>119</v>
      </c>
      <c r="C2634" s="4">
        <f t="shared" ref="C2634:M2634" si="1321">((0.247997156571988+0.247997156571988)/(0.501285425540793+0.247997156571988+0.247997156571988)) * 20.9995492449853%</f>
        <v>0.10444067597157788</v>
      </c>
      <c r="D2634" s="4">
        <f t="shared" si="1321"/>
        <v>0.10444067597157788</v>
      </c>
      <c r="E2634" s="4">
        <f t="shared" si="1321"/>
        <v>0.10444067597157788</v>
      </c>
      <c r="F2634" s="4">
        <f t="shared" si="1321"/>
        <v>0.10444067597157788</v>
      </c>
      <c r="G2634" s="4">
        <f t="shared" si="1321"/>
        <v>0.10444067597157788</v>
      </c>
      <c r="H2634" s="4">
        <f t="shared" si="1321"/>
        <v>0.10444067597157788</v>
      </c>
      <c r="I2634" s="4">
        <f t="shared" si="1321"/>
        <v>0.10444067597157788</v>
      </c>
      <c r="J2634" s="4">
        <f t="shared" si="1321"/>
        <v>0.10444067597157788</v>
      </c>
      <c r="K2634" s="4">
        <f t="shared" si="1321"/>
        <v>0.10444067597157788</v>
      </c>
      <c r="L2634" s="4">
        <f t="shared" si="1321"/>
        <v>0.10444067597157788</v>
      </c>
      <c r="M2634" s="4">
        <f t="shared" si="1321"/>
        <v>0.10444067597157788</v>
      </c>
      <c r="N2634" t="s">
        <v>256</v>
      </c>
      <c r="O2634" t="s">
        <v>396</v>
      </c>
      <c r="P2634" t="s">
        <v>397</v>
      </c>
      <c r="Q2634" t="s">
        <v>245</v>
      </c>
    </row>
    <row r="2635" spans="1:17" x14ac:dyDescent="0.25">
      <c r="A2635" t="s">
        <v>574</v>
      </c>
      <c r="B2635" t="s">
        <v>102</v>
      </c>
      <c r="C2635" s="4">
        <f t="shared" ref="C2635:M2635" si="1322">(0.501285425540793/(0.501285425540793+0.247997156571988+0.247997156571988)) * 0.321162947937796%</f>
        <v>1.6143344618357119E-3</v>
      </c>
      <c r="D2635" s="4">
        <f t="shared" si="1322"/>
        <v>1.6143344618357119E-3</v>
      </c>
      <c r="E2635" s="4">
        <f t="shared" si="1322"/>
        <v>1.6143344618357119E-3</v>
      </c>
      <c r="F2635" s="4">
        <f t="shared" si="1322"/>
        <v>1.6143344618357119E-3</v>
      </c>
      <c r="G2635" s="4">
        <f t="shared" si="1322"/>
        <v>1.6143344618357119E-3</v>
      </c>
      <c r="H2635" s="4">
        <f t="shared" si="1322"/>
        <v>1.6143344618357119E-3</v>
      </c>
      <c r="I2635" s="4">
        <f t="shared" si="1322"/>
        <v>1.6143344618357119E-3</v>
      </c>
      <c r="J2635" s="4">
        <f t="shared" si="1322"/>
        <v>1.6143344618357119E-3</v>
      </c>
      <c r="K2635" s="4">
        <f t="shared" si="1322"/>
        <v>1.6143344618357119E-3</v>
      </c>
      <c r="L2635" s="4">
        <f t="shared" si="1322"/>
        <v>1.6143344618357119E-3</v>
      </c>
      <c r="M2635" s="4">
        <f t="shared" si="1322"/>
        <v>1.6143344618357119E-3</v>
      </c>
      <c r="N2635" t="s">
        <v>242</v>
      </c>
      <c r="O2635" t="s">
        <v>358</v>
      </c>
      <c r="P2635" t="s">
        <v>397</v>
      </c>
      <c r="Q2635" t="s">
        <v>245</v>
      </c>
    </row>
    <row r="2636" spans="1:17" x14ac:dyDescent="0.25">
      <c r="A2636" t="s">
        <v>574</v>
      </c>
      <c r="B2636" t="s">
        <v>102</v>
      </c>
      <c r="C2636" s="4">
        <f t="shared" ref="C2636:M2636" si="1323">((0.247997156571988+0.247997156571988)/(0.501285425540793+0.247997156571988+0.247997156571988)) * 0.321162947937796%</f>
        <v>1.5972950175422475E-3</v>
      </c>
      <c r="D2636" s="4">
        <f t="shared" si="1323"/>
        <v>1.5972950175422475E-3</v>
      </c>
      <c r="E2636" s="4">
        <f t="shared" si="1323"/>
        <v>1.5972950175422475E-3</v>
      </c>
      <c r="F2636" s="4">
        <f t="shared" si="1323"/>
        <v>1.5972950175422475E-3</v>
      </c>
      <c r="G2636" s="4">
        <f t="shared" si="1323"/>
        <v>1.5972950175422475E-3</v>
      </c>
      <c r="H2636" s="4">
        <f t="shared" si="1323"/>
        <v>1.5972950175422475E-3</v>
      </c>
      <c r="I2636" s="4">
        <f t="shared" si="1323"/>
        <v>1.5972950175422475E-3</v>
      </c>
      <c r="J2636" s="4">
        <f t="shared" si="1323"/>
        <v>1.5972950175422475E-3</v>
      </c>
      <c r="K2636" s="4">
        <f t="shared" si="1323"/>
        <v>1.5972950175422475E-3</v>
      </c>
      <c r="L2636" s="4">
        <f t="shared" si="1323"/>
        <v>1.5972950175422475E-3</v>
      </c>
      <c r="M2636" s="4">
        <f t="shared" si="1323"/>
        <v>1.5972950175422475E-3</v>
      </c>
      <c r="N2636" t="s">
        <v>256</v>
      </c>
      <c r="O2636" t="s">
        <v>396</v>
      </c>
      <c r="P2636" t="s">
        <v>397</v>
      </c>
      <c r="Q2636" t="s">
        <v>245</v>
      </c>
    </row>
    <row r="2637" spans="1:17" x14ac:dyDescent="0.25">
      <c r="A2637" t="s">
        <v>574</v>
      </c>
      <c r="B2637" t="s">
        <v>150</v>
      </c>
      <c r="C2637" s="4">
        <f t="shared" ref="C2637:M2637" si="1324">(0.501285425540793/(0.501285425540793+0.247997156571988+0.247997156571988)) * 3.30741491999098%</f>
        <v>1.662481279118528E-2</v>
      </c>
      <c r="D2637" s="4">
        <f t="shared" si="1324"/>
        <v>1.662481279118528E-2</v>
      </c>
      <c r="E2637" s="4">
        <f t="shared" si="1324"/>
        <v>1.662481279118528E-2</v>
      </c>
      <c r="F2637" s="4">
        <f t="shared" si="1324"/>
        <v>1.662481279118528E-2</v>
      </c>
      <c r="G2637" s="4">
        <f t="shared" si="1324"/>
        <v>1.662481279118528E-2</v>
      </c>
      <c r="H2637" s="4">
        <f t="shared" si="1324"/>
        <v>1.662481279118528E-2</v>
      </c>
      <c r="I2637" s="4">
        <f t="shared" si="1324"/>
        <v>1.662481279118528E-2</v>
      </c>
      <c r="J2637" s="4">
        <f t="shared" si="1324"/>
        <v>1.662481279118528E-2</v>
      </c>
      <c r="K2637" s="4">
        <f t="shared" si="1324"/>
        <v>1.662481279118528E-2</v>
      </c>
      <c r="L2637" s="4">
        <f t="shared" si="1324"/>
        <v>1.662481279118528E-2</v>
      </c>
      <c r="M2637" s="4">
        <f t="shared" si="1324"/>
        <v>1.662481279118528E-2</v>
      </c>
      <c r="N2637" t="s">
        <v>242</v>
      </c>
      <c r="O2637" t="s">
        <v>358</v>
      </c>
      <c r="P2637" t="s">
        <v>397</v>
      </c>
      <c r="Q2637" t="s">
        <v>245</v>
      </c>
    </row>
    <row r="2638" spans="1:17" x14ac:dyDescent="0.25">
      <c r="A2638" t="s">
        <v>574</v>
      </c>
      <c r="B2638" t="s">
        <v>150</v>
      </c>
      <c r="C2638" s="4">
        <f t="shared" ref="C2638:M2638" si="1325">((0.247997156571988+0.247997156571988)/(0.501285425540793+0.247997156571988+0.247997156571988)) * 3.30741491999098%</f>
        <v>1.6449336408724518E-2</v>
      </c>
      <c r="D2638" s="4">
        <f t="shared" si="1325"/>
        <v>1.6449336408724518E-2</v>
      </c>
      <c r="E2638" s="4">
        <f t="shared" si="1325"/>
        <v>1.6449336408724518E-2</v>
      </c>
      <c r="F2638" s="4">
        <f t="shared" si="1325"/>
        <v>1.6449336408724518E-2</v>
      </c>
      <c r="G2638" s="4">
        <f t="shared" si="1325"/>
        <v>1.6449336408724518E-2</v>
      </c>
      <c r="H2638" s="4">
        <f t="shared" si="1325"/>
        <v>1.6449336408724518E-2</v>
      </c>
      <c r="I2638" s="4">
        <f t="shared" si="1325"/>
        <v>1.6449336408724518E-2</v>
      </c>
      <c r="J2638" s="4">
        <f t="shared" si="1325"/>
        <v>1.6449336408724518E-2</v>
      </c>
      <c r="K2638" s="4">
        <f t="shared" si="1325"/>
        <v>1.6449336408724518E-2</v>
      </c>
      <c r="L2638" s="4">
        <f t="shared" si="1325"/>
        <v>1.6449336408724518E-2</v>
      </c>
      <c r="M2638" s="4">
        <f t="shared" si="1325"/>
        <v>1.6449336408724518E-2</v>
      </c>
      <c r="N2638" t="s">
        <v>256</v>
      </c>
      <c r="O2638" t="s">
        <v>396</v>
      </c>
      <c r="P2638" t="s">
        <v>397</v>
      </c>
      <c r="Q2638" t="s">
        <v>245</v>
      </c>
    </row>
    <row r="2639" spans="1:17" x14ac:dyDescent="0.25">
      <c r="A2639" t="s">
        <v>574</v>
      </c>
      <c r="B2639" t="s">
        <v>146</v>
      </c>
      <c r="C2639" s="4">
        <f t="shared" ref="C2639:M2639" si="1326">(0.501285425540793/(0.501285425540793+0.247997156571988+0.247997156571988)) * 1.25647960333559%</f>
        <v>6.3157295612169193E-3</v>
      </c>
      <c r="D2639" s="4">
        <f t="shared" si="1326"/>
        <v>6.3157295612169193E-3</v>
      </c>
      <c r="E2639" s="4">
        <f t="shared" si="1326"/>
        <v>6.3157295612169193E-3</v>
      </c>
      <c r="F2639" s="4">
        <f t="shared" si="1326"/>
        <v>6.3157295612169193E-3</v>
      </c>
      <c r="G2639" s="4">
        <f t="shared" si="1326"/>
        <v>6.3157295612169193E-3</v>
      </c>
      <c r="H2639" s="4">
        <f t="shared" si="1326"/>
        <v>6.3157295612169193E-3</v>
      </c>
      <c r="I2639" s="4">
        <f t="shared" si="1326"/>
        <v>6.3157295612169193E-3</v>
      </c>
      <c r="J2639" s="4">
        <f t="shared" si="1326"/>
        <v>6.3157295612169193E-3</v>
      </c>
      <c r="K2639" s="4">
        <f t="shared" si="1326"/>
        <v>6.3157295612169193E-3</v>
      </c>
      <c r="L2639" s="4">
        <f t="shared" si="1326"/>
        <v>6.3157295612169193E-3</v>
      </c>
      <c r="M2639" s="4">
        <f t="shared" si="1326"/>
        <v>6.3157295612169193E-3</v>
      </c>
      <c r="N2639" t="s">
        <v>242</v>
      </c>
      <c r="O2639" t="s">
        <v>358</v>
      </c>
      <c r="P2639" t="s">
        <v>397</v>
      </c>
      <c r="Q2639" t="s">
        <v>245</v>
      </c>
    </row>
    <row r="2640" spans="1:17" x14ac:dyDescent="0.25">
      <c r="A2640" t="s">
        <v>574</v>
      </c>
      <c r="B2640" t="s">
        <v>146</v>
      </c>
      <c r="C2640" s="4">
        <f t="shared" ref="C2640:M2640" si="1327">((0.247997156571988+0.247997156571988)/(0.501285425540793+0.247997156571988+0.247997156571988)) * 1.25647960333559%</f>
        <v>6.24906647213898E-3</v>
      </c>
      <c r="D2640" s="4">
        <f t="shared" si="1327"/>
        <v>6.24906647213898E-3</v>
      </c>
      <c r="E2640" s="4">
        <f t="shared" si="1327"/>
        <v>6.24906647213898E-3</v>
      </c>
      <c r="F2640" s="4">
        <f t="shared" si="1327"/>
        <v>6.24906647213898E-3</v>
      </c>
      <c r="G2640" s="4">
        <f t="shared" si="1327"/>
        <v>6.24906647213898E-3</v>
      </c>
      <c r="H2640" s="4">
        <f t="shared" si="1327"/>
        <v>6.24906647213898E-3</v>
      </c>
      <c r="I2640" s="4">
        <f t="shared" si="1327"/>
        <v>6.24906647213898E-3</v>
      </c>
      <c r="J2640" s="4">
        <f t="shared" si="1327"/>
        <v>6.24906647213898E-3</v>
      </c>
      <c r="K2640" s="4">
        <f t="shared" si="1327"/>
        <v>6.24906647213898E-3</v>
      </c>
      <c r="L2640" s="4">
        <f t="shared" si="1327"/>
        <v>6.24906647213898E-3</v>
      </c>
      <c r="M2640" s="4">
        <f t="shared" si="1327"/>
        <v>6.24906647213898E-3</v>
      </c>
      <c r="N2640" t="s">
        <v>256</v>
      </c>
      <c r="O2640" t="s">
        <v>396</v>
      </c>
      <c r="P2640" t="s">
        <v>397</v>
      </c>
      <c r="Q2640" t="s">
        <v>245</v>
      </c>
    </row>
    <row r="2641" spans="1:17" x14ac:dyDescent="0.25">
      <c r="A2641" t="s">
        <v>574</v>
      </c>
      <c r="B2641" t="s">
        <v>156</v>
      </c>
      <c r="C2641" s="4">
        <f t="shared" ref="C2641:M2641" si="1328">(0.501285425540793/(0.501285425540793+0.247997156571988+0.247997156571988)) * 1.97205318909173%</f>
        <v>9.9125800288157769E-3</v>
      </c>
      <c r="D2641" s="4">
        <f t="shared" si="1328"/>
        <v>9.9125800288157769E-3</v>
      </c>
      <c r="E2641" s="4">
        <f t="shared" si="1328"/>
        <v>9.9125800288157769E-3</v>
      </c>
      <c r="F2641" s="4">
        <f t="shared" si="1328"/>
        <v>9.9125800288157769E-3</v>
      </c>
      <c r="G2641" s="4">
        <f t="shared" si="1328"/>
        <v>9.9125800288157769E-3</v>
      </c>
      <c r="H2641" s="4">
        <f t="shared" si="1328"/>
        <v>9.9125800288157769E-3</v>
      </c>
      <c r="I2641" s="4">
        <f t="shared" si="1328"/>
        <v>9.9125800288157769E-3</v>
      </c>
      <c r="J2641" s="4">
        <f t="shared" si="1328"/>
        <v>9.9125800288157769E-3</v>
      </c>
      <c r="K2641" s="4">
        <f t="shared" si="1328"/>
        <v>9.9125800288157769E-3</v>
      </c>
      <c r="L2641" s="4">
        <f t="shared" si="1328"/>
        <v>9.9125800288157769E-3</v>
      </c>
      <c r="M2641" s="4">
        <f t="shared" si="1328"/>
        <v>9.9125800288157769E-3</v>
      </c>
      <c r="N2641" t="s">
        <v>242</v>
      </c>
      <c r="O2641" t="s">
        <v>358</v>
      </c>
      <c r="P2641" t="s">
        <v>397</v>
      </c>
      <c r="Q2641" t="s">
        <v>245</v>
      </c>
    </row>
    <row r="2642" spans="1:17" x14ac:dyDescent="0.25">
      <c r="A2642" t="s">
        <v>574</v>
      </c>
      <c r="B2642" t="s">
        <v>156</v>
      </c>
      <c r="C2642" s="4">
        <f t="shared" ref="C2642:M2642" si="1329">((0.247997156571988+0.247997156571988)/(0.501285425540793+0.247997156571988+0.247997156571988)) * 1.97205318909173%</f>
        <v>9.8079518621015226E-3</v>
      </c>
      <c r="D2642" s="4">
        <f t="shared" si="1329"/>
        <v>9.8079518621015226E-3</v>
      </c>
      <c r="E2642" s="4">
        <f t="shared" si="1329"/>
        <v>9.8079518621015226E-3</v>
      </c>
      <c r="F2642" s="4">
        <f t="shared" si="1329"/>
        <v>9.8079518621015226E-3</v>
      </c>
      <c r="G2642" s="4">
        <f t="shared" si="1329"/>
        <v>9.8079518621015226E-3</v>
      </c>
      <c r="H2642" s="4">
        <f t="shared" si="1329"/>
        <v>9.8079518621015226E-3</v>
      </c>
      <c r="I2642" s="4">
        <f t="shared" si="1329"/>
        <v>9.8079518621015226E-3</v>
      </c>
      <c r="J2642" s="4">
        <f t="shared" si="1329"/>
        <v>9.8079518621015226E-3</v>
      </c>
      <c r="K2642" s="4">
        <f t="shared" si="1329"/>
        <v>9.8079518621015226E-3</v>
      </c>
      <c r="L2642" s="4">
        <f t="shared" si="1329"/>
        <v>9.8079518621015226E-3</v>
      </c>
      <c r="M2642" s="4">
        <f t="shared" si="1329"/>
        <v>9.8079518621015226E-3</v>
      </c>
      <c r="N2642" t="s">
        <v>256</v>
      </c>
      <c r="O2642" t="s">
        <v>396</v>
      </c>
      <c r="P2642" t="s">
        <v>397</v>
      </c>
      <c r="Q2642" t="s">
        <v>245</v>
      </c>
    </row>
    <row r="2643" spans="1:17" x14ac:dyDescent="0.25">
      <c r="A2643" t="s">
        <v>574</v>
      </c>
      <c r="B2643" t="s">
        <v>151</v>
      </c>
      <c r="C2643" s="4">
        <f t="shared" ref="C2643:M2643" si="1330">(0.501285425540793/(0.501285425540793+0.247997156571988+0.247997156571988)) * 2.00585981519044%</f>
        <v>1.0082509972166878E-2</v>
      </c>
      <c r="D2643" s="4">
        <f t="shared" si="1330"/>
        <v>1.0082509972166878E-2</v>
      </c>
      <c r="E2643" s="4">
        <f t="shared" si="1330"/>
        <v>1.0082509972166878E-2</v>
      </c>
      <c r="F2643" s="4">
        <f t="shared" si="1330"/>
        <v>1.0082509972166878E-2</v>
      </c>
      <c r="G2643" s="4">
        <f t="shared" si="1330"/>
        <v>1.0082509972166878E-2</v>
      </c>
      <c r="H2643" s="4">
        <f t="shared" si="1330"/>
        <v>1.0082509972166878E-2</v>
      </c>
      <c r="I2643" s="4">
        <f t="shared" si="1330"/>
        <v>1.0082509972166878E-2</v>
      </c>
      <c r="J2643" s="4">
        <f t="shared" si="1330"/>
        <v>1.0082509972166878E-2</v>
      </c>
      <c r="K2643" s="4">
        <f t="shared" si="1330"/>
        <v>1.0082509972166878E-2</v>
      </c>
      <c r="L2643" s="4">
        <f t="shared" si="1330"/>
        <v>1.0082509972166878E-2</v>
      </c>
      <c r="M2643" s="4">
        <f t="shared" si="1330"/>
        <v>1.0082509972166878E-2</v>
      </c>
      <c r="N2643" t="s">
        <v>242</v>
      </c>
      <c r="O2643" t="s">
        <v>358</v>
      </c>
      <c r="P2643" t="s">
        <v>397</v>
      </c>
      <c r="Q2643" t="s">
        <v>245</v>
      </c>
    </row>
    <row r="2644" spans="1:17" x14ac:dyDescent="0.25">
      <c r="A2644" t="s">
        <v>574</v>
      </c>
      <c r="B2644" t="s">
        <v>151</v>
      </c>
      <c r="C2644" s="4">
        <f t="shared" ref="C2644:M2644" si="1331">((0.247997156571988+0.247997156571988)/(0.501285425540793+0.247997156571988+0.247997156571988)) * 2.00585981519044%</f>
        <v>9.9760881797375228E-3</v>
      </c>
      <c r="D2644" s="4">
        <f t="shared" si="1331"/>
        <v>9.9760881797375228E-3</v>
      </c>
      <c r="E2644" s="4">
        <f t="shared" si="1331"/>
        <v>9.9760881797375228E-3</v>
      </c>
      <c r="F2644" s="4">
        <f t="shared" si="1331"/>
        <v>9.9760881797375228E-3</v>
      </c>
      <c r="G2644" s="4">
        <f t="shared" si="1331"/>
        <v>9.9760881797375228E-3</v>
      </c>
      <c r="H2644" s="4">
        <f t="shared" si="1331"/>
        <v>9.9760881797375228E-3</v>
      </c>
      <c r="I2644" s="4">
        <f t="shared" si="1331"/>
        <v>9.9760881797375228E-3</v>
      </c>
      <c r="J2644" s="4">
        <f t="shared" si="1331"/>
        <v>9.9760881797375228E-3</v>
      </c>
      <c r="K2644" s="4">
        <f t="shared" si="1331"/>
        <v>9.9760881797375228E-3</v>
      </c>
      <c r="L2644" s="4">
        <f t="shared" si="1331"/>
        <v>9.9760881797375228E-3</v>
      </c>
      <c r="M2644" s="4">
        <f t="shared" si="1331"/>
        <v>9.9760881797375228E-3</v>
      </c>
      <c r="N2644" t="s">
        <v>333</v>
      </c>
      <c r="O2644" t="s">
        <v>396</v>
      </c>
      <c r="P2644" t="s">
        <v>397</v>
      </c>
      <c r="Q2644" t="s">
        <v>245</v>
      </c>
    </row>
    <row r="2645" spans="1:17" x14ac:dyDescent="0.25">
      <c r="A2645" t="s">
        <v>574</v>
      </c>
      <c r="B2645" t="s">
        <v>107</v>
      </c>
      <c r="C2645" s="4">
        <f t="shared" ref="C2645:M2645" si="1332">(0.501285425540793/(0.501285425540793+0.247997156571988+0.247997156571988)) * 5.28510254676583%</f>
        <v>2.6565714477226249E-2</v>
      </c>
      <c r="D2645" s="4">
        <f t="shared" si="1332"/>
        <v>2.6565714477226249E-2</v>
      </c>
      <c r="E2645" s="4">
        <f t="shared" si="1332"/>
        <v>2.6565714477226249E-2</v>
      </c>
      <c r="F2645" s="4">
        <f t="shared" si="1332"/>
        <v>2.6565714477226249E-2</v>
      </c>
      <c r="G2645" s="4">
        <f t="shared" si="1332"/>
        <v>2.6565714477226249E-2</v>
      </c>
      <c r="H2645" s="4">
        <f t="shared" si="1332"/>
        <v>2.6565714477226249E-2</v>
      </c>
      <c r="I2645" s="4">
        <f t="shared" si="1332"/>
        <v>2.6565714477226249E-2</v>
      </c>
      <c r="J2645" s="4">
        <f t="shared" si="1332"/>
        <v>2.6565714477226249E-2</v>
      </c>
      <c r="K2645" s="4">
        <f t="shared" si="1332"/>
        <v>2.6565714477226249E-2</v>
      </c>
      <c r="L2645" s="4">
        <f t="shared" si="1332"/>
        <v>2.6565714477226249E-2</v>
      </c>
      <c r="M2645" s="4">
        <f t="shared" si="1332"/>
        <v>2.6565714477226249E-2</v>
      </c>
      <c r="N2645" t="s">
        <v>242</v>
      </c>
      <c r="O2645" t="s">
        <v>358</v>
      </c>
      <c r="P2645" t="s">
        <v>397</v>
      </c>
      <c r="Q2645" t="s">
        <v>245</v>
      </c>
    </row>
    <row r="2646" spans="1:17" x14ac:dyDescent="0.25">
      <c r="A2646" t="s">
        <v>574</v>
      </c>
      <c r="B2646" t="s">
        <v>107</v>
      </c>
      <c r="C2646" s="4">
        <f t="shared" ref="C2646:M2646" si="1333">((0.247997156571988+0.247997156571988)/(0.501285425540793+0.247997156571988+0.247997156571988)) * 5.28510254676583%</f>
        <v>2.6285310990432048E-2</v>
      </c>
      <c r="D2646" s="4">
        <f t="shared" si="1333"/>
        <v>2.6285310990432048E-2</v>
      </c>
      <c r="E2646" s="4">
        <f t="shared" si="1333"/>
        <v>2.6285310990432048E-2</v>
      </c>
      <c r="F2646" s="4">
        <f t="shared" si="1333"/>
        <v>2.6285310990432048E-2</v>
      </c>
      <c r="G2646" s="4">
        <f t="shared" si="1333"/>
        <v>2.6285310990432048E-2</v>
      </c>
      <c r="H2646" s="4">
        <f t="shared" si="1333"/>
        <v>2.6285310990432048E-2</v>
      </c>
      <c r="I2646" s="4">
        <f t="shared" si="1333"/>
        <v>2.6285310990432048E-2</v>
      </c>
      <c r="J2646" s="4">
        <f t="shared" si="1333"/>
        <v>2.6285310990432048E-2</v>
      </c>
      <c r="K2646" s="4">
        <f t="shared" si="1333"/>
        <v>2.6285310990432048E-2</v>
      </c>
      <c r="L2646" s="4">
        <f t="shared" si="1333"/>
        <v>2.6285310990432048E-2</v>
      </c>
      <c r="M2646" s="4">
        <f t="shared" si="1333"/>
        <v>2.6285310990432048E-2</v>
      </c>
      <c r="N2646" t="s">
        <v>333</v>
      </c>
      <c r="O2646" t="s">
        <v>396</v>
      </c>
      <c r="P2646" t="s">
        <v>397</v>
      </c>
      <c r="Q2646" t="s">
        <v>245</v>
      </c>
    </row>
    <row r="2647" spans="1:17" x14ac:dyDescent="0.25">
      <c r="A2647" t="s">
        <v>574</v>
      </c>
      <c r="B2647" t="s">
        <v>179</v>
      </c>
      <c r="C2647" s="4">
        <f t="shared" ref="C2647:M2647" si="1334">(0.501285425540793/(0.501285425540793+0.247997156571988+0.247997156571988)) * 0.58034708136128%</f>
        <v>2.9171306941943543E-3</v>
      </c>
      <c r="D2647" s="4">
        <f t="shared" si="1334"/>
        <v>2.9171306941943543E-3</v>
      </c>
      <c r="E2647" s="4">
        <f t="shared" si="1334"/>
        <v>2.9171306941943543E-3</v>
      </c>
      <c r="F2647" s="4">
        <f t="shared" si="1334"/>
        <v>2.9171306941943543E-3</v>
      </c>
      <c r="G2647" s="4">
        <f t="shared" si="1334"/>
        <v>2.9171306941943543E-3</v>
      </c>
      <c r="H2647" s="4">
        <f t="shared" si="1334"/>
        <v>2.9171306941943543E-3</v>
      </c>
      <c r="I2647" s="4">
        <f t="shared" si="1334"/>
        <v>2.9171306941943543E-3</v>
      </c>
      <c r="J2647" s="4">
        <f t="shared" si="1334"/>
        <v>2.9171306941943543E-3</v>
      </c>
      <c r="K2647" s="4">
        <f t="shared" si="1334"/>
        <v>2.9171306941943543E-3</v>
      </c>
      <c r="L2647" s="4">
        <f t="shared" si="1334"/>
        <v>2.9171306941943543E-3</v>
      </c>
      <c r="M2647" s="4">
        <f t="shared" si="1334"/>
        <v>2.9171306941943543E-3</v>
      </c>
      <c r="N2647" t="s">
        <v>242</v>
      </c>
      <c r="O2647" t="s">
        <v>358</v>
      </c>
      <c r="P2647" t="s">
        <v>397</v>
      </c>
      <c r="Q2647" t="s">
        <v>245</v>
      </c>
    </row>
    <row r="2648" spans="1:17" x14ac:dyDescent="0.25">
      <c r="A2648" t="s">
        <v>574</v>
      </c>
      <c r="B2648" t="s">
        <v>179</v>
      </c>
      <c r="C2648" s="4">
        <f t="shared" ref="C2648:M2648" si="1335">((0.247997156571988+0.247997156571988)/(0.501285425540793+0.247997156571988+0.247997156571988)) * 0.58034708136128%</f>
        <v>2.8863401194184454E-3</v>
      </c>
      <c r="D2648" s="4">
        <f t="shared" si="1335"/>
        <v>2.8863401194184454E-3</v>
      </c>
      <c r="E2648" s="4">
        <f t="shared" si="1335"/>
        <v>2.8863401194184454E-3</v>
      </c>
      <c r="F2648" s="4">
        <f t="shared" si="1335"/>
        <v>2.8863401194184454E-3</v>
      </c>
      <c r="G2648" s="4">
        <f t="shared" si="1335"/>
        <v>2.8863401194184454E-3</v>
      </c>
      <c r="H2648" s="4">
        <f t="shared" si="1335"/>
        <v>2.8863401194184454E-3</v>
      </c>
      <c r="I2648" s="4">
        <f t="shared" si="1335"/>
        <v>2.8863401194184454E-3</v>
      </c>
      <c r="J2648" s="4">
        <f t="shared" si="1335"/>
        <v>2.8863401194184454E-3</v>
      </c>
      <c r="K2648" s="4">
        <f t="shared" si="1335"/>
        <v>2.8863401194184454E-3</v>
      </c>
      <c r="L2648" s="4">
        <f t="shared" si="1335"/>
        <v>2.8863401194184454E-3</v>
      </c>
      <c r="M2648" s="4">
        <f t="shared" si="1335"/>
        <v>2.8863401194184454E-3</v>
      </c>
      <c r="N2648" t="s">
        <v>333</v>
      </c>
      <c r="O2648" t="s">
        <v>396</v>
      </c>
      <c r="P2648" t="s">
        <v>397</v>
      </c>
      <c r="Q2648" t="s">
        <v>245</v>
      </c>
    </row>
    <row r="2649" spans="1:17" x14ac:dyDescent="0.25">
      <c r="A2649" t="s">
        <v>574</v>
      </c>
      <c r="B2649" t="s">
        <v>138</v>
      </c>
      <c r="C2649" s="4">
        <f t="shared" ref="C2649:M2649" si="1336">(0.501285425540793/(0.501285425540793+0.247997156571988+0.247997156571988)) * 0.94658553076403%</f>
        <v>4.7580384138315697E-3</v>
      </c>
      <c r="D2649" s="4">
        <f t="shared" si="1336"/>
        <v>4.7580384138315697E-3</v>
      </c>
      <c r="E2649" s="4">
        <f t="shared" si="1336"/>
        <v>4.7580384138315697E-3</v>
      </c>
      <c r="F2649" s="4">
        <f t="shared" si="1336"/>
        <v>4.7580384138315697E-3</v>
      </c>
      <c r="G2649" s="4">
        <f t="shared" si="1336"/>
        <v>4.7580384138315697E-3</v>
      </c>
      <c r="H2649" s="4">
        <f t="shared" si="1336"/>
        <v>4.7580384138315697E-3</v>
      </c>
      <c r="I2649" s="4">
        <f t="shared" si="1336"/>
        <v>4.7580384138315697E-3</v>
      </c>
      <c r="J2649" s="4">
        <f t="shared" si="1336"/>
        <v>4.7580384138315697E-3</v>
      </c>
      <c r="K2649" s="4">
        <f t="shared" si="1336"/>
        <v>4.7580384138315697E-3</v>
      </c>
      <c r="L2649" s="4">
        <f t="shared" si="1336"/>
        <v>4.7580384138315697E-3</v>
      </c>
      <c r="M2649" s="4">
        <f t="shared" si="1336"/>
        <v>4.7580384138315697E-3</v>
      </c>
      <c r="N2649" t="s">
        <v>242</v>
      </c>
      <c r="O2649" t="s">
        <v>358</v>
      </c>
      <c r="P2649" t="s">
        <v>397</v>
      </c>
      <c r="Q2649" t="s">
        <v>245</v>
      </c>
    </row>
    <row r="2650" spans="1:17" x14ac:dyDescent="0.25">
      <c r="A2650" t="s">
        <v>574</v>
      </c>
      <c r="B2650" t="s">
        <v>138</v>
      </c>
      <c r="C2650" s="4">
        <f t="shared" ref="C2650:M2650" si="1337">((0.247997156571988+0.247997156571988)/(0.501285425540793+0.247997156571988+0.247997156571988)) * 0.94658553076403%</f>
        <v>4.7078168938087276E-3</v>
      </c>
      <c r="D2650" s="4">
        <f t="shared" si="1337"/>
        <v>4.7078168938087276E-3</v>
      </c>
      <c r="E2650" s="4">
        <f t="shared" si="1337"/>
        <v>4.7078168938087276E-3</v>
      </c>
      <c r="F2650" s="4">
        <f t="shared" si="1337"/>
        <v>4.7078168938087276E-3</v>
      </c>
      <c r="G2650" s="4">
        <f t="shared" si="1337"/>
        <v>4.7078168938087276E-3</v>
      </c>
      <c r="H2650" s="4">
        <f t="shared" si="1337"/>
        <v>4.7078168938087276E-3</v>
      </c>
      <c r="I2650" s="4">
        <f t="shared" si="1337"/>
        <v>4.7078168938087276E-3</v>
      </c>
      <c r="J2650" s="4">
        <f t="shared" si="1337"/>
        <v>4.7078168938087276E-3</v>
      </c>
      <c r="K2650" s="4">
        <f t="shared" si="1337"/>
        <v>4.7078168938087276E-3</v>
      </c>
      <c r="L2650" s="4">
        <f t="shared" si="1337"/>
        <v>4.7078168938087276E-3</v>
      </c>
      <c r="M2650" s="4">
        <f t="shared" si="1337"/>
        <v>4.7078168938087276E-3</v>
      </c>
      <c r="N2650" t="s">
        <v>333</v>
      </c>
      <c r="O2650" t="s">
        <v>396</v>
      </c>
      <c r="P2650" t="s">
        <v>397</v>
      </c>
      <c r="Q2650" t="s">
        <v>245</v>
      </c>
    </row>
    <row r="2651" spans="1:17" x14ac:dyDescent="0.25">
      <c r="A2651" t="s">
        <v>574</v>
      </c>
      <c r="B2651" t="s">
        <v>113</v>
      </c>
      <c r="C2651" s="4">
        <f t="shared" ref="C2651:M2651" si="1338">(0.501285425540793/(0.501285425540793+0.247997156571988+0.247997156571988)) * 3.32431823304034%</f>
        <v>1.6709777762860853E-2</v>
      </c>
      <c r="D2651" s="4">
        <f t="shared" si="1338"/>
        <v>1.6709777762860853E-2</v>
      </c>
      <c r="E2651" s="4">
        <f t="shared" si="1338"/>
        <v>1.6709777762860853E-2</v>
      </c>
      <c r="F2651" s="4">
        <f t="shared" si="1338"/>
        <v>1.6709777762860853E-2</v>
      </c>
      <c r="G2651" s="4">
        <f t="shared" si="1338"/>
        <v>1.6709777762860853E-2</v>
      </c>
      <c r="H2651" s="4">
        <f t="shared" si="1338"/>
        <v>1.6709777762860853E-2</v>
      </c>
      <c r="I2651" s="4">
        <f t="shared" si="1338"/>
        <v>1.6709777762860853E-2</v>
      </c>
      <c r="J2651" s="4">
        <f t="shared" si="1338"/>
        <v>1.6709777762860853E-2</v>
      </c>
      <c r="K2651" s="4">
        <f t="shared" si="1338"/>
        <v>1.6709777762860853E-2</v>
      </c>
      <c r="L2651" s="4">
        <f t="shared" si="1338"/>
        <v>1.6709777762860853E-2</v>
      </c>
      <c r="M2651" s="4">
        <f t="shared" si="1338"/>
        <v>1.6709777762860853E-2</v>
      </c>
      <c r="N2651" t="s">
        <v>242</v>
      </c>
      <c r="O2651" t="s">
        <v>358</v>
      </c>
      <c r="P2651" t="s">
        <v>397</v>
      </c>
      <c r="Q2651" t="s">
        <v>245</v>
      </c>
    </row>
    <row r="2652" spans="1:17" x14ac:dyDescent="0.25">
      <c r="A2652" t="s">
        <v>574</v>
      </c>
      <c r="B2652" t="s">
        <v>113</v>
      </c>
      <c r="C2652" s="4">
        <f t="shared" ref="C2652:M2652" si="1339">((0.247997156571988+0.247997156571988)/(0.501285425540793+0.247997156571988+0.247997156571988)) * 3.32431823304034%</f>
        <v>1.6533404567542539E-2</v>
      </c>
      <c r="D2652" s="4">
        <f t="shared" si="1339"/>
        <v>1.6533404567542539E-2</v>
      </c>
      <c r="E2652" s="4">
        <f t="shared" si="1339"/>
        <v>1.6533404567542539E-2</v>
      </c>
      <c r="F2652" s="4">
        <f t="shared" si="1339"/>
        <v>1.6533404567542539E-2</v>
      </c>
      <c r="G2652" s="4">
        <f t="shared" si="1339"/>
        <v>1.6533404567542539E-2</v>
      </c>
      <c r="H2652" s="4">
        <f t="shared" si="1339"/>
        <v>1.6533404567542539E-2</v>
      </c>
      <c r="I2652" s="4">
        <f t="shared" si="1339"/>
        <v>1.6533404567542539E-2</v>
      </c>
      <c r="J2652" s="4">
        <f t="shared" si="1339"/>
        <v>1.6533404567542539E-2</v>
      </c>
      <c r="K2652" s="4">
        <f t="shared" si="1339"/>
        <v>1.6533404567542539E-2</v>
      </c>
      <c r="L2652" s="4">
        <f t="shared" si="1339"/>
        <v>1.6533404567542539E-2</v>
      </c>
      <c r="M2652" s="4">
        <f t="shared" si="1339"/>
        <v>1.6533404567542539E-2</v>
      </c>
      <c r="N2652" t="s">
        <v>256</v>
      </c>
      <c r="O2652" t="s">
        <v>396</v>
      </c>
      <c r="P2652" t="s">
        <v>397</v>
      </c>
      <c r="Q2652" t="s">
        <v>245</v>
      </c>
    </row>
    <row r="2653" spans="1:17" x14ac:dyDescent="0.25">
      <c r="A2653" t="s">
        <v>574</v>
      </c>
      <c r="B2653" t="s">
        <v>180</v>
      </c>
      <c r="C2653" s="4">
        <f t="shared" ref="C2653:M2653" si="1340">(0.501285425540793/(0.501285425540793+0.247997156571988+0.247997156571988)) * 0.112688753662384%</f>
        <v>5.6643314450375573E-4</v>
      </c>
      <c r="D2653" s="4">
        <f t="shared" si="1340"/>
        <v>5.6643314450375573E-4</v>
      </c>
      <c r="E2653" s="4">
        <f t="shared" si="1340"/>
        <v>5.6643314450375573E-4</v>
      </c>
      <c r="F2653" s="4">
        <f t="shared" si="1340"/>
        <v>5.6643314450375573E-4</v>
      </c>
      <c r="G2653" s="4">
        <f t="shared" si="1340"/>
        <v>5.6643314450375573E-4</v>
      </c>
      <c r="H2653" s="4">
        <f t="shared" si="1340"/>
        <v>5.6643314450375573E-4</v>
      </c>
      <c r="I2653" s="4">
        <f t="shared" si="1340"/>
        <v>5.6643314450375573E-4</v>
      </c>
      <c r="J2653" s="4">
        <f t="shared" si="1340"/>
        <v>5.6643314450375573E-4</v>
      </c>
      <c r="K2653" s="4">
        <f t="shared" si="1340"/>
        <v>5.6643314450375573E-4</v>
      </c>
      <c r="L2653" s="4">
        <f t="shared" si="1340"/>
        <v>5.6643314450375573E-4</v>
      </c>
      <c r="M2653" s="4">
        <f t="shared" si="1340"/>
        <v>5.6643314450375573E-4</v>
      </c>
      <c r="N2653" t="s">
        <v>242</v>
      </c>
      <c r="O2653" t="s">
        <v>358</v>
      </c>
      <c r="P2653" t="s">
        <v>397</v>
      </c>
      <c r="Q2653" t="s">
        <v>245</v>
      </c>
    </row>
    <row r="2654" spans="1:17" x14ac:dyDescent="0.25">
      <c r="A2654" t="s">
        <v>574</v>
      </c>
      <c r="B2654" t="s">
        <v>180</v>
      </c>
      <c r="C2654" s="4">
        <f t="shared" ref="C2654:M2654" si="1341">((0.247997156571988+0.247997156571988)/(0.501285425540793+0.247997156571988+0.247997156571988)) * 0.112688753662384%</f>
        <v>5.6045439212008407E-4</v>
      </c>
      <c r="D2654" s="4">
        <f t="shared" si="1341"/>
        <v>5.6045439212008407E-4</v>
      </c>
      <c r="E2654" s="4">
        <f t="shared" si="1341"/>
        <v>5.6045439212008407E-4</v>
      </c>
      <c r="F2654" s="4">
        <f t="shared" si="1341"/>
        <v>5.6045439212008407E-4</v>
      </c>
      <c r="G2654" s="4">
        <f t="shared" si="1341"/>
        <v>5.6045439212008407E-4</v>
      </c>
      <c r="H2654" s="4">
        <f t="shared" si="1341"/>
        <v>5.6045439212008407E-4</v>
      </c>
      <c r="I2654" s="4">
        <f t="shared" si="1341"/>
        <v>5.6045439212008407E-4</v>
      </c>
      <c r="J2654" s="4">
        <f t="shared" si="1341"/>
        <v>5.6045439212008407E-4</v>
      </c>
      <c r="K2654" s="4">
        <f t="shared" si="1341"/>
        <v>5.6045439212008407E-4</v>
      </c>
      <c r="L2654" s="4">
        <f t="shared" si="1341"/>
        <v>5.6045439212008407E-4</v>
      </c>
      <c r="M2654" s="4">
        <f t="shared" si="1341"/>
        <v>5.6045439212008407E-4</v>
      </c>
      <c r="N2654" t="s">
        <v>256</v>
      </c>
      <c r="O2654" t="s">
        <v>396</v>
      </c>
      <c r="P2654" t="s">
        <v>397</v>
      </c>
      <c r="Q2654" t="s">
        <v>245</v>
      </c>
    </row>
    <row r="2655" spans="1:17" x14ac:dyDescent="0.25">
      <c r="A2655" t="s">
        <v>692</v>
      </c>
      <c r="B2655" t="s">
        <v>113</v>
      </c>
      <c r="C2655" s="4">
        <f t="shared" ref="C2655:M2655" si="1342">24.9759846301633%*(0.0000919504300903769/(0.0000919504300903769+0.292442375462464+0.707465674107445))</f>
        <v>2.2965525286741602E-5</v>
      </c>
      <c r="D2655" s="4">
        <f t="shared" si="1342"/>
        <v>2.2965525286741602E-5</v>
      </c>
      <c r="E2655" s="4">
        <f t="shared" si="1342"/>
        <v>2.2965525286741602E-5</v>
      </c>
      <c r="F2655" s="4">
        <f t="shared" si="1342"/>
        <v>2.2965525286741602E-5</v>
      </c>
      <c r="G2655" s="4">
        <f t="shared" si="1342"/>
        <v>2.2965525286741602E-5</v>
      </c>
      <c r="H2655" s="4">
        <f t="shared" si="1342"/>
        <v>2.2965525286741602E-5</v>
      </c>
      <c r="I2655" s="4">
        <f t="shared" si="1342"/>
        <v>2.2965525286741602E-5</v>
      </c>
      <c r="J2655" s="4">
        <f t="shared" si="1342"/>
        <v>2.2965525286741602E-5</v>
      </c>
      <c r="K2655" s="4">
        <f t="shared" si="1342"/>
        <v>2.2965525286741602E-5</v>
      </c>
      <c r="L2655" s="4">
        <f t="shared" si="1342"/>
        <v>2.2965525286741602E-5</v>
      </c>
      <c r="M2655" s="4">
        <f t="shared" si="1342"/>
        <v>2.2965525286741602E-5</v>
      </c>
      <c r="N2655" t="s">
        <v>242</v>
      </c>
      <c r="O2655" t="s">
        <v>315</v>
      </c>
      <c r="P2655" t="s">
        <v>692</v>
      </c>
      <c r="Q2655" t="s">
        <v>245</v>
      </c>
    </row>
    <row r="2656" spans="1:17" x14ac:dyDescent="0.25">
      <c r="A2656" t="s">
        <v>692</v>
      </c>
      <c r="B2656" t="s">
        <v>113</v>
      </c>
      <c r="C2656" s="4">
        <f t="shared" ref="C2656:M2656" si="1343">24.9759846301633%*(0.292442375462464/(0.0000919504300903769+0.292442375462464+0.707465674107445))</f>
        <v>7.3040362747589516E-2</v>
      </c>
      <c r="D2656" s="4">
        <f t="shared" si="1343"/>
        <v>7.3040362747589516E-2</v>
      </c>
      <c r="E2656" s="4">
        <f t="shared" si="1343"/>
        <v>7.3040362747589516E-2</v>
      </c>
      <c r="F2656" s="4">
        <f t="shared" si="1343"/>
        <v>7.3040362747589516E-2</v>
      </c>
      <c r="G2656" s="4">
        <f t="shared" si="1343"/>
        <v>7.3040362747589516E-2</v>
      </c>
      <c r="H2656" s="4">
        <f t="shared" si="1343"/>
        <v>7.3040362747589516E-2</v>
      </c>
      <c r="I2656" s="4">
        <f t="shared" si="1343"/>
        <v>7.3040362747589516E-2</v>
      </c>
      <c r="J2656" s="4">
        <f t="shared" si="1343"/>
        <v>7.3040362747589516E-2</v>
      </c>
      <c r="K2656" s="4">
        <f t="shared" si="1343"/>
        <v>7.3040362747589516E-2</v>
      </c>
      <c r="L2656" s="4">
        <f t="shared" si="1343"/>
        <v>7.3040362747589516E-2</v>
      </c>
      <c r="M2656" s="4">
        <f t="shared" si="1343"/>
        <v>7.3040362747589516E-2</v>
      </c>
      <c r="N2656" t="s">
        <v>256</v>
      </c>
      <c r="O2656" t="s">
        <v>693</v>
      </c>
      <c r="P2656" t="s">
        <v>692</v>
      </c>
      <c r="Q2656" t="s">
        <v>245</v>
      </c>
    </row>
    <row r="2657" spans="1:17" x14ac:dyDescent="0.25">
      <c r="A2657" t="s">
        <v>692</v>
      </c>
      <c r="B2657" t="s">
        <v>113</v>
      </c>
      <c r="C2657" s="4">
        <f t="shared" ref="C2657:M2657" si="1344">24.9759846301633%*(0.707465674107445/(0.0000919504300903769+0.292442375462464+0.707465674107445))</f>
        <v>0.17669651802875674</v>
      </c>
      <c r="D2657" s="4">
        <f t="shared" si="1344"/>
        <v>0.17669651802875674</v>
      </c>
      <c r="E2657" s="4">
        <f t="shared" si="1344"/>
        <v>0.17669651802875674</v>
      </c>
      <c r="F2657" s="4">
        <f t="shared" si="1344"/>
        <v>0.17669651802875674</v>
      </c>
      <c r="G2657" s="4">
        <f t="shared" si="1344"/>
        <v>0.17669651802875674</v>
      </c>
      <c r="H2657" s="4">
        <f t="shared" si="1344"/>
        <v>0.17669651802875674</v>
      </c>
      <c r="I2657" s="4">
        <f t="shared" si="1344"/>
        <v>0.17669651802875674</v>
      </c>
      <c r="J2657" s="4">
        <f t="shared" si="1344"/>
        <v>0.17669651802875674</v>
      </c>
      <c r="K2657" s="4">
        <f t="shared" si="1344"/>
        <v>0.17669651802875674</v>
      </c>
      <c r="L2657" s="4">
        <f t="shared" si="1344"/>
        <v>0.17669651802875674</v>
      </c>
      <c r="M2657" s="4">
        <f t="shared" si="1344"/>
        <v>0.17669651802875674</v>
      </c>
      <c r="N2657" t="s">
        <v>256</v>
      </c>
      <c r="O2657" t="s">
        <v>694</v>
      </c>
      <c r="P2657" t="s">
        <v>692</v>
      </c>
      <c r="Q2657" t="s">
        <v>245</v>
      </c>
    </row>
    <row r="2658" spans="1:17" x14ac:dyDescent="0.25">
      <c r="A2658" t="s">
        <v>689</v>
      </c>
      <c r="B2658" t="s">
        <v>113</v>
      </c>
      <c r="C2658" s="4">
        <v>0.249759846301633</v>
      </c>
      <c r="D2658" s="4">
        <v>0.249759846301633</v>
      </c>
      <c r="E2658" s="4">
        <v>0.249759846301633</v>
      </c>
      <c r="F2658" s="4">
        <v>0.249759846301633</v>
      </c>
      <c r="G2658" s="4">
        <v>0.249759846301633</v>
      </c>
      <c r="H2658" s="4">
        <v>0.249759846301633</v>
      </c>
      <c r="I2658" s="4">
        <v>0.249759846301633</v>
      </c>
      <c r="J2658" s="4">
        <v>0.249759846301633</v>
      </c>
      <c r="K2658" s="4">
        <v>0.249759846301633</v>
      </c>
      <c r="L2658" s="4">
        <v>0.249759846301633</v>
      </c>
      <c r="M2658" s="4">
        <v>0.249759846301633</v>
      </c>
      <c r="N2658" t="s">
        <v>256</v>
      </c>
      <c r="O2658" t="s">
        <v>690</v>
      </c>
      <c r="P2658" t="s">
        <v>689</v>
      </c>
      <c r="Q2658" t="s">
        <v>245</v>
      </c>
    </row>
    <row r="2659" spans="1:17" x14ac:dyDescent="0.25">
      <c r="A2659" t="s">
        <v>692</v>
      </c>
      <c r="B2659" t="s">
        <v>124</v>
      </c>
      <c r="C2659" s="4">
        <f t="shared" ref="C2659:M2659" si="1345">1.09160771984979%*(0.0000919504300903769/(0.0000919504300903769+0.292442375462464+0.707465674107445))</f>
        <v>1.0037379933016393E-6</v>
      </c>
      <c r="D2659" s="4">
        <f t="shared" si="1345"/>
        <v>1.0037379933016393E-6</v>
      </c>
      <c r="E2659" s="4">
        <f t="shared" si="1345"/>
        <v>1.0037379933016393E-6</v>
      </c>
      <c r="F2659" s="4">
        <f t="shared" si="1345"/>
        <v>1.0037379933016393E-6</v>
      </c>
      <c r="G2659" s="4">
        <f t="shared" si="1345"/>
        <v>1.0037379933016393E-6</v>
      </c>
      <c r="H2659" s="4">
        <f t="shared" si="1345"/>
        <v>1.0037379933016393E-6</v>
      </c>
      <c r="I2659" s="4">
        <f t="shared" si="1345"/>
        <v>1.0037379933016393E-6</v>
      </c>
      <c r="J2659" s="4">
        <f t="shared" si="1345"/>
        <v>1.0037379933016393E-6</v>
      </c>
      <c r="K2659" s="4">
        <f t="shared" si="1345"/>
        <v>1.0037379933016393E-6</v>
      </c>
      <c r="L2659" s="4">
        <f t="shared" si="1345"/>
        <v>1.0037379933016393E-6</v>
      </c>
      <c r="M2659" s="4">
        <f t="shared" si="1345"/>
        <v>1.0037379933016393E-6</v>
      </c>
      <c r="N2659" t="s">
        <v>242</v>
      </c>
      <c r="O2659" t="s">
        <v>315</v>
      </c>
      <c r="P2659" t="s">
        <v>692</v>
      </c>
      <c r="Q2659" t="s">
        <v>245</v>
      </c>
    </row>
    <row r="2660" spans="1:17" x14ac:dyDescent="0.25">
      <c r="A2660" t="s">
        <v>692</v>
      </c>
      <c r="B2660" t="s">
        <v>124</v>
      </c>
      <c r="C2660" s="4">
        <f t="shared" ref="C2660:M2660" si="1346">1.09160771984979%*(0.292442375462464/(0.0000919504300903769+0.292442375462464+0.707465674107445))</f>
        <v>3.1923235466603675E-3</v>
      </c>
      <c r="D2660" s="4">
        <f t="shared" si="1346"/>
        <v>3.1923235466603675E-3</v>
      </c>
      <c r="E2660" s="4">
        <f t="shared" si="1346"/>
        <v>3.1923235466603675E-3</v>
      </c>
      <c r="F2660" s="4">
        <f t="shared" si="1346"/>
        <v>3.1923235466603675E-3</v>
      </c>
      <c r="G2660" s="4">
        <f t="shared" si="1346"/>
        <v>3.1923235466603675E-3</v>
      </c>
      <c r="H2660" s="4">
        <f t="shared" si="1346"/>
        <v>3.1923235466603675E-3</v>
      </c>
      <c r="I2660" s="4">
        <f t="shared" si="1346"/>
        <v>3.1923235466603675E-3</v>
      </c>
      <c r="J2660" s="4">
        <f t="shared" si="1346"/>
        <v>3.1923235466603675E-3</v>
      </c>
      <c r="K2660" s="4">
        <f t="shared" si="1346"/>
        <v>3.1923235466603675E-3</v>
      </c>
      <c r="L2660" s="4">
        <f t="shared" si="1346"/>
        <v>3.1923235466603675E-3</v>
      </c>
      <c r="M2660" s="4">
        <f t="shared" si="1346"/>
        <v>3.1923235466603675E-3</v>
      </c>
      <c r="N2660" t="s">
        <v>256</v>
      </c>
      <c r="O2660" t="s">
        <v>693</v>
      </c>
      <c r="P2660" t="s">
        <v>692</v>
      </c>
      <c r="Q2660" t="s">
        <v>245</v>
      </c>
    </row>
    <row r="2661" spans="1:17" x14ac:dyDescent="0.25">
      <c r="A2661" t="s">
        <v>692</v>
      </c>
      <c r="B2661" t="s">
        <v>124</v>
      </c>
      <c r="C2661" s="4">
        <f t="shared" ref="C2661:M2661" si="1347">1.09160771984979%*(0.707465674107445/(0.0000919504300903769+0.292442375462464+0.707465674107445))</f>
        <v>7.7227499138442313E-3</v>
      </c>
      <c r="D2661" s="4">
        <f t="shared" si="1347"/>
        <v>7.7227499138442313E-3</v>
      </c>
      <c r="E2661" s="4">
        <f t="shared" si="1347"/>
        <v>7.7227499138442313E-3</v>
      </c>
      <c r="F2661" s="4">
        <f t="shared" si="1347"/>
        <v>7.7227499138442313E-3</v>
      </c>
      <c r="G2661" s="4">
        <f t="shared" si="1347"/>
        <v>7.7227499138442313E-3</v>
      </c>
      <c r="H2661" s="4">
        <f t="shared" si="1347"/>
        <v>7.7227499138442313E-3</v>
      </c>
      <c r="I2661" s="4">
        <f t="shared" si="1347"/>
        <v>7.7227499138442313E-3</v>
      </c>
      <c r="J2661" s="4">
        <f t="shared" si="1347"/>
        <v>7.7227499138442313E-3</v>
      </c>
      <c r="K2661" s="4">
        <f t="shared" si="1347"/>
        <v>7.7227499138442313E-3</v>
      </c>
      <c r="L2661" s="4">
        <f t="shared" si="1347"/>
        <v>7.7227499138442313E-3</v>
      </c>
      <c r="M2661" s="4">
        <f t="shared" si="1347"/>
        <v>7.7227499138442313E-3</v>
      </c>
      <c r="N2661" t="s">
        <v>256</v>
      </c>
      <c r="O2661" t="s">
        <v>694</v>
      </c>
      <c r="P2661" t="s">
        <v>692</v>
      </c>
      <c r="Q2661" t="s">
        <v>245</v>
      </c>
    </row>
    <row r="2662" spans="1:17" x14ac:dyDescent="0.25">
      <c r="A2662" t="s">
        <v>689</v>
      </c>
      <c r="B2662" t="s">
        <v>124</v>
      </c>
      <c r="C2662" s="4">
        <v>1.09160771984979E-2</v>
      </c>
      <c r="D2662" s="4">
        <v>1.09160771984979E-2</v>
      </c>
      <c r="E2662" s="4">
        <v>1.09160771984979E-2</v>
      </c>
      <c r="F2662" s="4">
        <v>1.09160771984979E-2</v>
      </c>
      <c r="G2662" s="4">
        <v>1.09160771984979E-2</v>
      </c>
      <c r="H2662" s="4">
        <v>1.09160771984979E-2</v>
      </c>
      <c r="I2662" s="4">
        <v>1.09160771984979E-2</v>
      </c>
      <c r="J2662" s="4">
        <v>1.09160771984979E-2</v>
      </c>
      <c r="K2662" s="4">
        <v>1.09160771984979E-2</v>
      </c>
      <c r="L2662" s="4">
        <v>1.09160771984979E-2</v>
      </c>
      <c r="M2662" s="4">
        <v>1.09160771984979E-2</v>
      </c>
      <c r="N2662" t="s">
        <v>256</v>
      </c>
      <c r="O2662" t="s">
        <v>690</v>
      </c>
      <c r="P2662" t="s">
        <v>689</v>
      </c>
      <c r="Q2662" t="s">
        <v>245</v>
      </c>
    </row>
    <row r="2663" spans="1:17" x14ac:dyDescent="0.25">
      <c r="A2663" t="s">
        <v>692</v>
      </c>
      <c r="B2663" t="s">
        <v>83</v>
      </c>
      <c r="C2663" s="4">
        <f t="shared" ref="C2663:M2663" si="1348">1.16438156783978%*(0.0000919504300903769/(0.0000919504300903769+0.292442375462464+0.707465674107445))</f>
        <v>1.0706538595217522E-6</v>
      </c>
      <c r="D2663" s="4">
        <f t="shared" si="1348"/>
        <v>1.0706538595217522E-6</v>
      </c>
      <c r="E2663" s="4">
        <f t="shared" si="1348"/>
        <v>1.0706538595217522E-6</v>
      </c>
      <c r="F2663" s="4">
        <f t="shared" si="1348"/>
        <v>1.0706538595217522E-6</v>
      </c>
      <c r="G2663" s="4">
        <f t="shared" si="1348"/>
        <v>1.0706538595217522E-6</v>
      </c>
      <c r="H2663" s="4">
        <f t="shared" si="1348"/>
        <v>1.0706538595217522E-6</v>
      </c>
      <c r="I2663" s="4">
        <f t="shared" si="1348"/>
        <v>1.0706538595217522E-6</v>
      </c>
      <c r="J2663" s="4">
        <f t="shared" si="1348"/>
        <v>1.0706538595217522E-6</v>
      </c>
      <c r="K2663" s="4">
        <f t="shared" si="1348"/>
        <v>1.0706538595217522E-6</v>
      </c>
      <c r="L2663" s="4">
        <f t="shared" si="1348"/>
        <v>1.0706538595217522E-6</v>
      </c>
      <c r="M2663" s="4">
        <f t="shared" si="1348"/>
        <v>1.0706538595217522E-6</v>
      </c>
      <c r="N2663" t="s">
        <v>242</v>
      </c>
      <c r="O2663" t="s">
        <v>315</v>
      </c>
      <c r="P2663" t="s">
        <v>692</v>
      </c>
      <c r="Q2663" t="s">
        <v>245</v>
      </c>
    </row>
    <row r="2664" spans="1:17" x14ac:dyDescent="0.25">
      <c r="A2664" t="s">
        <v>692</v>
      </c>
      <c r="B2664" t="s">
        <v>83</v>
      </c>
      <c r="C2664" s="4">
        <f t="shared" ref="C2664:M2664" si="1349">1.16438156783978%*(0.292442375462464/(0.0000919504300903769+0.292442375462464+0.707465674107445))</f>
        <v>3.4051451164377367E-3</v>
      </c>
      <c r="D2664" s="4">
        <f t="shared" si="1349"/>
        <v>3.4051451164377367E-3</v>
      </c>
      <c r="E2664" s="4">
        <f t="shared" si="1349"/>
        <v>3.4051451164377367E-3</v>
      </c>
      <c r="F2664" s="4">
        <f t="shared" si="1349"/>
        <v>3.4051451164377367E-3</v>
      </c>
      <c r="G2664" s="4">
        <f t="shared" si="1349"/>
        <v>3.4051451164377367E-3</v>
      </c>
      <c r="H2664" s="4">
        <f t="shared" si="1349"/>
        <v>3.4051451164377367E-3</v>
      </c>
      <c r="I2664" s="4">
        <f t="shared" si="1349"/>
        <v>3.4051451164377367E-3</v>
      </c>
      <c r="J2664" s="4">
        <f t="shared" si="1349"/>
        <v>3.4051451164377367E-3</v>
      </c>
      <c r="K2664" s="4">
        <f t="shared" si="1349"/>
        <v>3.4051451164377367E-3</v>
      </c>
      <c r="L2664" s="4">
        <f t="shared" si="1349"/>
        <v>3.4051451164377367E-3</v>
      </c>
      <c r="M2664" s="4">
        <f t="shared" si="1349"/>
        <v>3.4051451164377367E-3</v>
      </c>
      <c r="N2664" t="s">
        <v>256</v>
      </c>
      <c r="O2664" t="s">
        <v>693</v>
      </c>
      <c r="P2664" t="s">
        <v>692</v>
      </c>
      <c r="Q2664" t="s">
        <v>245</v>
      </c>
    </row>
    <row r="2665" spans="1:17" x14ac:dyDescent="0.25">
      <c r="A2665" t="s">
        <v>692</v>
      </c>
      <c r="B2665" t="s">
        <v>83</v>
      </c>
      <c r="C2665" s="4">
        <f t="shared" ref="C2665:M2665" si="1350">1.16438156783978%*(0.707465674107445/(0.0000919504300903769+0.292442375462464+0.707465674107445))</f>
        <v>8.2375999081005409E-3</v>
      </c>
      <c r="D2665" s="4">
        <f t="shared" si="1350"/>
        <v>8.2375999081005409E-3</v>
      </c>
      <c r="E2665" s="4">
        <f t="shared" si="1350"/>
        <v>8.2375999081005409E-3</v>
      </c>
      <c r="F2665" s="4">
        <f t="shared" si="1350"/>
        <v>8.2375999081005409E-3</v>
      </c>
      <c r="G2665" s="4">
        <f t="shared" si="1350"/>
        <v>8.2375999081005409E-3</v>
      </c>
      <c r="H2665" s="4">
        <f t="shared" si="1350"/>
        <v>8.2375999081005409E-3</v>
      </c>
      <c r="I2665" s="4">
        <f t="shared" si="1350"/>
        <v>8.2375999081005409E-3</v>
      </c>
      <c r="J2665" s="4">
        <f t="shared" si="1350"/>
        <v>8.2375999081005409E-3</v>
      </c>
      <c r="K2665" s="4">
        <f t="shared" si="1350"/>
        <v>8.2375999081005409E-3</v>
      </c>
      <c r="L2665" s="4">
        <f t="shared" si="1350"/>
        <v>8.2375999081005409E-3</v>
      </c>
      <c r="M2665" s="4">
        <f t="shared" si="1350"/>
        <v>8.2375999081005409E-3</v>
      </c>
      <c r="N2665" t="s">
        <v>256</v>
      </c>
      <c r="O2665" t="s">
        <v>694</v>
      </c>
      <c r="P2665" t="s">
        <v>692</v>
      </c>
      <c r="Q2665" t="s">
        <v>245</v>
      </c>
    </row>
    <row r="2666" spans="1:17" x14ac:dyDescent="0.25">
      <c r="A2666" t="s">
        <v>689</v>
      </c>
      <c r="B2666" t="s">
        <v>83</v>
      </c>
      <c r="C2666" s="4">
        <v>1.16438156783978E-2</v>
      </c>
      <c r="D2666" s="4">
        <v>1.16438156783978E-2</v>
      </c>
      <c r="E2666" s="4">
        <v>1.16438156783978E-2</v>
      </c>
      <c r="F2666" s="4">
        <v>1.16438156783978E-2</v>
      </c>
      <c r="G2666" s="4">
        <v>1.16438156783978E-2</v>
      </c>
      <c r="H2666" s="4">
        <v>1.16438156783978E-2</v>
      </c>
      <c r="I2666" s="4">
        <v>1.16438156783978E-2</v>
      </c>
      <c r="J2666" s="4">
        <v>1.16438156783978E-2</v>
      </c>
      <c r="K2666" s="4">
        <v>1.16438156783978E-2</v>
      </c>
      <c r="L2666" s="4">
        <v>1.16438156783978E-2</v>
      </c>
      <c r="M2666" s="4">
        <v>1.16438156783978E-2</v>
      </c>
      <c r="N2666" t="s">
        <v>256</v>
      </c>
      <c r="O2666" t="s">
        <v>690</v>
      </c>
      <c r="P2666" t="s">
        <v>689</v>
      </c>
      <c r="Q2666" t="s">
        <v>245</v>
      </c>
    </row>
    <row r="2667" spans="1:17" x14ac:dyDescent="0.25">
      <c r="A2667" t="s">
        <v>692</v>
      </c>
      <c r="B2667" t="s">
        <v>147</v>
      </c>
      <c r="C2667" s="4">
        <f t="shared" ref="C2667:M2667" si="1351">2.43792390766454%*(0.0000919504300903769/(0.0000919504300903769+0.292442375462464+0.707465674107445))</f>
        <v>2.2416815183736692E-6</v>
      </c>
      <c r="D2667" s="4">
        <f t="shared" si="1351"/>
        <v>2.2416815183736692E-6</v>
      </c>
      <c r="E2667" s="4">
        <f t="shared" si="1351"/>
        <v>2.2416815183736692E-6</v>
      </c>
      <c r="F2667" s="4">
        <f t="shared" si="1351"/>
        <v>2.2416815183736692E-6</v>
      </c>
      <c r="G2667" s="4">
        <f t="shared" si="1351"/>
        <v>2.2416815183736692E-6</v>
      </c>
      <c r="H2667" s="4">
        <f t="shared" si="1351"/>
        <v>2.2416815183736692E-6</v>
      </c>
      <c r="I2667" s="4">
        <f t="shared" si="1351"/>
        <v>2.2416815183736692E-6</v>
      </c>
      <c r="J2667" s="4">
        <f t="shared" si="1351"/>
        <v>2.2416815183736692E-6</v>
      </c>
      <c r="K2667" s="4">
        <f t="shared" si="1351"/>
        <v>2.2416815183736692E-6</v>
      </c>
      <c r="L2667" s="4">
        <f t="shared" si="1351"/>
        <v>2.2416815183736692E-6</v>
      </c>
      <c r="M2667" s="4">
        <f t="shared" si="1351"/>
        <v>2.2416815183736692E-6</v>
      </c>
      <c r="N2667" t="s">
        <v>242</v>
      </c>
      <c r="O2667" t="s">
        <v>315</v>
      </c>
      <c r="P2667" t="s">
        <v>692</v>
      </c>
      <c r="Q2667" t="s">
        <v>245</v>
      </c>
    </row>
    <row r="2668" spans="1:17" x14ac:dyDescent="0.25">
      <c r="A2668" t="s">
        <v>692</v>
      </c>
      <c r="B2668" t="s">
        <v>147</v>
      </c>
      <c r="C2668" s="4">
        <f t="shared" ref="C2668:M2668" si="1352">2.43792390766454%*(0.292442375462464/(0.0000919504300903769+0.292442375462464+0.707465674107445))</f>
        <v>7.129522587541513E-3</v>
      </c>
      <c r="D2668" s="4">
        <f t="shared" si="1352"/>
        <v>7.129522587541513E-3</v>
      </c>
      <c r="E2668" s="4">
        <f t="shared" si="1352"/>
        <v>7.129522587541513E-3</v>
      </c>
      <c r="F2668" s="4">
        <f t="shared" si="1352"/>
        <v>7.129522587541513E-3</v>
      </c>
      <c r="G2668" s="4">
        <f t="shared" si="1352"/>
        <v>7.129522587541513E-3</v>
      </c>
      <c r="H2668" s="4">
        <f t="shared" si="1352"/>
        <v>7.129522587541513E-3</v>
      </c>
      <c r="I2668" s="4">
        <f t="shared" si="1352"/>
        <v>7.129522587541513E-3</v>
      </c>
      <c r="J2668" s="4">
        <f t="shared" si="1352"/>
        <v>7.129522587541513E-3</v>
      </c>
      <c r="K2668" s="4">
        <f t="shared" si="1352"/>
        <v>7.129522587541513E-3</v>
      </c>
      <c r="L2668" s="4">
        <f t="shared" si="1352"/>
        <v>7.129522587541513E-3</v>
      </c>
      <c r="M2668" s="4">
        <f t="shared" si="1352"/>
        <v>7.129522587541513E-3</v>
      </c>
      <c r="N2668" t="s">
        <v>256</v>
      </c>
      <c r="O2668" t="s">
        <v>693</v>
      </c>
      <c r="P2668" t="s">
        <v>692</v>
      </c>
      <c r="Q2668" t="s">
        <v>245</v>
      </c>
    </row>
    <row r="2669" spans="1:17" x14ac:dyDescent="0.25">
      <c r="A2669" t="s">
        <v>692</v>
      </c>
      <c r="B2669" t="s">
        <v>147</v>
      </c>
      <c r="C2669" s="4">
        <f t="shared" ref="C2669:M2669" si="1353">2.43792390766454%*(0.707465674107445/(0.0000919504300903769+0.292442375462464+0.707465674107445))</f>
        <v>1.7247474807585511E-2</v>
      </c>
      <c r="D2669" s="4">
        <f t="shared" si="1353"/>
        <v>1.7247474807585511E-2</v>
      </c>
      <c r="E2669" s="4">
        <f t="shared" si="1353"/>
        <v>1.7247474807585511E-2</v>
      </c>
      <c r="F2669" s="4">
        <f t="shared" si="1353"/>
        <v>1.7247474807585511E-2</v>
      </c>
      <c r="G2669" s="4">
        <f t="shared" si="1353"/>
        <v>1.7247474807585511E-2</v>
      </c>
      <c r="H2669" s="4">
        <f t="shared" si="1353"/>
        <v>1.7247474807585511E-2</v>
      </c>
      <c r="I2669" s="4">
        <f t="shared" si="1353"/>
        <v>1.7247474807585511E-2</v>
      </c>
      <c r="J2669" s="4">
        <f t="shared" si="1353"/>
        <v>1.7247474807585511E-2</v>
      </c>
      <c r="K2669" s="4">
        <f t="shared" si="1353"/>
        <v>1.7247474807585511E-2</v>
      </c>
      <c r="L2669" s="4">
        <f t="shared" si="1353"/>
        <v>1.7247474807585511E-2</v>
      </c>
      <c r="M2669" s="4">
        <f t="shared" si="1353"/>
        <v>1.7247474807585511E-2</v>
      </c>
      <c r="N2669" t="s">
        <v>256</v>
      </c>
      <c r="O2669" t="s">
        <v>694</v>
      </c>
      <c r="P2669" t="s">
        <v>692</v>
      </c>
      <c r="Q2669" t="s">
        <v>245</v>
      </c>
    </row>
    <row r="2670" spans="1:17" x14ac:dyDescent="0.25">
      <c r="A2670" t="s">
        <v>689</v>
      </c>
      <c r="B2670" t="s">
        <v>147</v>
      </c>
      <c r="C2670" s="4">
        <v>2.4379239076645399E-2</v>
      </c>
      <c r="D2670" s="4">
        <v>2.4379239076645399E-2</v>
      </c>
      <c r="E2670" s="4">
        <v>2.4379239076645399E-2</v>
      </c>
      <c r="F2670" s="4">
        <v>2.4379239076645399E-2</v>
      </c>
      <c r="G2670" s="4">
        <v>2.4379239076645399E-2</v>
      </c>
      <c r="H2670" s="4">
        <v>2.4379239076645399E-2</v>
      </c>
      <c r="I2670" s="4">
        <v>2.4379239076645399E-2</v>
      </c>
      <c r="J2670" s="4">
        <v>2.4379239076645399E-2</v>
      </c>
      <c r="K2670" s="4">
        <v>2.4379239076645399E-2</v>
      </c>
      <c r="L2670" s="4">
        <v>2.4379239076645399E-2</v>
      </c>
      <c r="M2670" s="4">
        <v>2.4379239076645399E-2</v>
      </c>
      <c r="N2670" t="s">
        <v>256</v>
      </c>
      <c r="O2670" t="s">
        <v>690</v>
      </c>
      <c r="P2670" t="s">
        <v>689</v>
      </c>
      <c r="Q2670" t="s">
        <v>245</v>
      </c>
    </row>
    <row r="2671" spans="1:17" x14ac:dyDescent="0.25">
      <c r="A2671" t="s">
        <v>692</v>
      </c>
      <c r="B2671" t="s">
        <v>116</v>
      </c>
      <c r="C2671" s="4">
        <f t="shared" ref="C2671:M2671" si="1354">1.40453526620674%*(0.0000919504300903769/(0.0000919504300903769+0.292442375462464+0.707465674107445))</f>
        <v>1.2914762180481186E-6</v>
      </c>
      <c r="D2671" s="4">
        <f t="shared" si="1354"/>
        <v>1.2914762180481186E-6</v>
      </c>
      <c r="E2671" s="4">
        <f t="shared" si="1354"/>
        <v>1.2914762180481186E-6</v>
      </c>
      <c r="F2671" s="4">
        <f t="shared" si="1354"/>
        <v>1.2914762180481186E-6</v>
      </c>
      <c r="G2671" s="4">
        <f t="shared" si="1354"/>
        <v>1.2914762180481186E-6</v>
      </c>
      <c r="H2671" s="4">
        <f t="shared" si="1354"/>
        <v>1.2914762180481186E-6</v>
      </c>
      <c r="I2671" s="4">
        <f t="shared" si="1354"/>
        <v>1.2914762180481186E-6</v>
      </c>
      <c r="J2671" s="4">
        <f t="shared" si="1354"/>
        <v>1.2914762180481186E-6</v>
      </c>
      <c r="K2671" s="4">
        <f t="shared" si="1354"/>
        <v>1.2914762180481186E-6</v>
      </c>
      <c r="L2671" s="4">
        <f t="shared" si="1354"/>
        <v>1.2914762180481186E-6</v>
      </c>
      <c r="M2671" s="4">
        <f t="shared" si="1354"/>
        <v>1.2914762180481186E-6</v>
      </c>
      <c r="N2671" t="s">
        <v>242</v>
      </c>
      <c r="O2671" t="s">
        <v>315</v>
      </c>
      <c r="P2671" t="s">
        <v>692</v>
      </c>
      <c r="Q2671" t="s">
        <v>245</v>
      </c>
    </row>
    <row r="2672" spans="1:17" x14ac:dyDescent="0.25">
      <c r="A2672" t="s">
        <v>692</v>
      </c>
      <c r="B2672" t="s">
        <v>116</v>
      </c>
      <c r="C2672" s="4">
        <f t="shared" ref="C2672:M2672" si="1355">1.40453526620674%*(0.292442375462464/(0.0000919504300903769+0.292442375462464+0.707465674107445))</f>
        <v>4.1074562967030361E-3</v>
      </c>
      <c r="D2672" s="4">
        <f t="shared" si="1355"/>
        <v>4.1074562967030361E-3</v>
      </c>
      <c r="E2672" s="4">
        <f t="shared" si="1355"/>
        <v>4.1074562967030361E-3</v>
      </c>
      <c r="F2672" s="4">
        <f t="shared" si="1355"/>
        <v>4.1074562967030361E-3</v>
      </c>
      <c r="G2672" s="4">
        <f t="shared" si="1355"/>
        <v>4.1074562967030361E-3</v>
      </c>
      <c r="H2672" s="4">
        <f t="shared" si="1355"/>
        <v>4.1074562967030361E-3</v>
      </c>
      <c r="I2672" s="4">
        <f t="shared" si="1355"/>
        <v>4.1074562967030361E-3</v>
      </c>
      <c r="J2672" s="4">
        <f t="shared" si="1355"/>
        <v>4.1074562967030361E-3</v>
      </c>
      <c r="K2672" s="4">
        <f t="shared" si="1355"/>
        <v>4.1074562967030361E-3</v>
      </c>
      <c r="L2672" s="4">
        <f t="shared" si="1355"/>
        <v>4.1074562967030361E-3</v>
      </c>
      <c r="M2672" s="4">
        <f t="shared" si="1355"/>
        <v>4.1074562967030361E-3</v>
      </c>
      <c r="N2672" t="s">
        <v>256</v>
      </c>
      <c r="O2672" t="s">
        <v>693</v>
      </c>
      <c r="P2672" t="s">
        <v>692</v>
      </c>
      <c r="Q2672" t="s">
        <v>245</v>
      </c>
    </row>
    <row r="2673" spans="1:17" x14ac:dyDescent="0.25">
      <c r="A2673" t="s">
        <v>692</v>
      </c>
      <c r="B2673" t="s">
        <v>116</v>
      </c>
      <c r="C2673" s="4">
        <f t="shared" ref="C2673:M2673" si="1356">1.40453526620674%*(0.707465674107445/(0.0000919504300903769+0.292442375462464+0.707465674107445))</f>
        <v>9.9366048891463173E-3</v>
      </c>
      <c r="D2673" s="4">
        <f t="shared" si="1356"/>
        <v>9.9366048891463173E-3</v>
      </c>
      <c r="E2673" s="4">
        <f t="shared" si="1356"/>
        <v>9.9366048891463173E-3</v>
      </c>
      <c r="F2673" s="4">
        <f t="shared" si="1356"/>
        <v>9.9366048891463173E-3</v>
      </c>
      <c r="G2673" s="4">
        <f t="shared" si="1356"/>
        <v>9.9366048891463173E-3</v>
      </c>
      <c r="H2673" s="4">
        <f t="shared" si="1356"/>
        <v>9.9366048891463173E-3</v>
      </c>
      <c r="I2673" s="4">
        <f t="shared" si="1356"/>
        <v>9.9366048891463173E-3</v>
      </c>
      <c r="J2673" s="4">
        <f t="shared" si="1356"/>
        <v>9.9366048891463173E-3</v>
      </c>
      <c r="K2673" s="4">
        <f t="shared" si="1356"/>
        <v>9.9366048891463173E-3</v>
      </c>
      <c r="L2673" s="4">
        <f t="shared" si="1356"/>
        <v>9.9366048891463173E-3</v>
      </c>
      <c r="M2673" s="4">
        <f t="shared" si="1356"/>
        <v>9.9366048891463173E-3</v>
      </c>
      <c r="N2673" t="s">
        <v>256</v>
      </c>
      <c r="O2673" t="s">
        <v>694</v>
      </c>
      <c r="P2673" t="s">
        <v>692</v>
      </c>
      <c r="Q2673" t="s">
        <v>245</v>
      </c>
    </row>
    <row r="2674" spans="1:17" x14ac:dyDescent="0.25">
      <c r="A2674" t="s">
        <v>689</v>
      </c>
      <c r="B2674" t="s">
        <v>116</v>
      </c>
      <c r="C2674" s="4">
        <v>1.40453526620674E-2</v>
      </c>
      <c r="D2674" s="4">
        <v>1.40453526620674E-2</v>
      </c>
      <c r="E2674" s="4">
        <v>1.40453526620674E-2</v>
      </c>
      <c r="F2674" s="4">
        <v>1.40453526620674E-2</v>
      </c>
      <c r="G2674" s="4">
        <v>1.40453526620674E-2</v>
      </c>
      <c r="H2674" s="4">
        <v>1.40453526620674E-2</v>
      </c>
      <c r="I2674" s="4">
        <v>1.40453526620674E-2</v>
      </c>
      <c r="J2674" s="4">
        <v>1.40453526620674E-2</v>
      </c>
      <c r="K2674" s="4">
        <v>1.40453526620674E-2</v>
      </c>
      <c r="L2674" s="4">
        <v>1.40453526620674E-2</v>
      </c>
      <c r="M2674" s="4">
        <v>1.40453526620674E-2</v>
      </c>
      <c r="N2674" t="s">
        <v>256</v>
      </c>
      <c r="O2674" t="s">
        <v>690</v>
      </c>
      <c r="P2674" t="s">
        <v>689</v>
      </c>
      <c r="Q2674" t="s">
        <v>245</v>
      </c>
    </row>
    <row r="2675" spans="1:17" x14ac:dyDescent="0.25">
      <c r="A2675" t="s">
        <v>692</v>
      </c>
      <c r="B2675" t="s">
        <v>86</v>
      </c>
      <c r="C2675" s="4">
        <f t="shared" ref="C2675:M2675" si="1357">25.5727301836812%*(0.0000919504300903769/(0.0000919504300903769+0.292442375462464+0.707465674107445))</f>
        <v>2.3514235389746515E-5</v>
      </c>
      <c r="D2675" s="4">
        <f t="shared" si="1357"/>
        <v>2.3514235389746515E-5</v>
      </c>
      <c r="E2675" s="4">
        <f t="shared" si="1357"/>
        <v>2.3514235389746515E-5</v>
      </c>
      <c r="F2675" s="4">
        <f t="shared" si="1357"/>
        <v>2.3514235389746515E-5</v>
      </c>
      <c r="G2675" s="4">
        <f t="shared" si="1357"/>
        <v>2.3514235389746515E-5</v>
      </c>
      <c r="H2675" s="4">
        <f t="shared" si="1357"/>
        <v>2.3514235389746515E-5</v>
      </c>
      <c r="I2675" s="4">
        <f t="shared" si="1357"/>
        <v>2.3514235389746515E-5</v>
      </c>
      <c r="J2675" s="4">
        <f t="shared" si="1357"/>
        <v>2.3514235389746515E-5</v>
      </c>
      <c r="K2675" s="4">
        <f t="shared" si="1357"/>
        <v>2.3514235389746515E-5</v>
      </c>
      <c r="L2675" s="4">
        <f t="shared" si="1357"/>
        <v>2.3514235389746515E-5</v>
      </c>
      <c r="M2675" s="4">
        <f t="shared" si="1357"/>
        <v>2.3514235389746515E-5</v>
      </c>
      <c r="N2675" t="s">
        <v>242</v>
      </c>
      <c r="O2675" t="s">
        <v>315</v>
      </c>
      <c r="P2675" t="s">
        <v>692</v>
      </c>
      <c r="Q2675" t="s">
        <v>245</v>
      </c>
    </row>
    <row r="2676" spans="1:17" x14ac:dyDescent="0.25">
      <c r="A2676" t="s">
        <v>692</v>
      </c>
      <c r="B2676" t="s">
        <v>86</v>
      </c>
      <c r="C2676" s="4">
        <f t="shared" ref="C2676:M2676" si="1358">25.5727301836812%*(0.292442375462464/(0.0000919504300903769+0.292442375462464+0.707465674107445))</f>
        <v>7.4785499619763898E-2</v>
      </c>
      <c r="D2676" s="4">
        <f t="shared" si="1358"/>
        <v>7.4785499619763898E-2</v>
      </c>
      <c r="E2676" s="4">
        <f t="shared" si="1358"/>
        <v>7.4785499619763898E-2</v>
      </c>
      <c r="F2676" s="4">
        <f t="shared" si="1358"/>
        <v>7.4785499619763898E-2</v>
      </c>
      <c r="G2676" s="4">
        <f t="shared" si="1358"/>
        <v>7.4785499619763898E-2</v>
      </c>
      <c r="H2676" s="4">
        <f t="shared" si="1358"/>
        <v>7.4785499619763898E-2</v>
      </c>
      <c r="I2676" s="4">
        <f t="shared" si="1358"/>
        <v>7.4785499619763898E-2</v>
      </c>
      <c r="J2676" s="4">
        <f t="shared" si="1358"/>
        <v>7.4785499619763898E-2</v>
      </c>
      <c r="K2676" s="4">
        <f t="shared" si="1358"/>
        <v>7.4785499619763898E-2</v>
      </c>
      <c r="L2676" s="4">
        <f t="shared" si="1358"/>
        <v>7.4785499619763898E-2</v>
      </c>
      <c r="M2676" s="4">
        <f t="shared" si="1358"/>
        <v>7.4785499619763898E-2</v>
      </c>
      <c r="N2676" t="s">
        <v>256</v>
      </c>
      <c r="O2676" t="s">
        <v>693</v>
      </c>
      <c r="P2676" t="s">
        <v>692</v>
      </c>
      <c r="Q2676" t="s">
        <v>245</v>
      </c>
    </row>
    <row r="2677" spans="1:17" x14ac:dyDescent="0.25">
      <c r="A2677" t="s">
        <v>692</v>
      </c>
      <c r="B2677" t="s">
        <v>86</v>
      </c>
      <c r="C2677" s="4">
        <f t="shared" ref="C2677:M2677" si="1359">25.5727301836812%*(0.707465674107445/(0.0000919504300903769+0.292442375462464+0.707465674107445))</f>
        <v>0.18091828798165838</v>
      </c>
      <c r="D2677" s="4">
        <f t="shared" si="1359"/>
        <v>0.18091828798165838</v>
      </c>
      <c r="E2677" s="4">
        <f t="shared" si="1359"/>
        <v>0.18091828798165838</v>
      </c>
      <c r="F2677" s="4">
        <f t="shared" si="1359"/>
        <v>0.18091828798165838</v>
      </c>
      <c r="G2677" s="4">
        <f t="shared" si="1359"/>
        <v>0.18091828798165838</v>
      </c>
      <c r="H2677" s="4">
        <f t="shared" si="1359"/>
        <v>0.18091828798165838</v>
      </c>
      <c r="I2677" s="4">
        <f t="shared" si="1359"/>
        <v>0.18091828798165838</v>
      </c>
      <c r="J2677" s="4">
        <f t="shared" si="1359"/>
        <v>0.18091828798165838</v>
      </c>
      <c r="K2677" s="4">
        <f t="shared" si="1359"/>
        <v>0.18091828798165838</v>
      </c>
      <c r="L2677" s="4">
        <f t="shared" si="1359"/>
        <v>0.18091828798165838</v>
      </c>
      <c r="M2677" s="4">
        <f t="shared" si="1359"/>
        <v>0.18091828798165838</v>
      </c>
      <c r="N2677" t="s">
        <v>256</v>
      </c>
      <c r="O2677" t="s">
        <v>694</v>
      </c>
      <c r="P2677" t="s">
        <v>692</v>
      </c>
      <c r="Q2677" t="s">
        <v>245</v>
      </c>
    </row>
    <row r="2678" spans="1:17" x14ac:dyDescent="0.25">
      <c r="A2678" t="s">
        <v>689</v>
      </c>
      <c r="B2678" t="s">
        <v>86</v>
      </c>
      <c r="C2678" s="4">
        <v>0.25572730183681203</v>
      </c>
      <c r="D2678" s="4">
        <v>0.25572730183681203</v>
      </c>
      <c r="E2678" s="4">
        <v>0.25572730183681203</v>
      </c>
      <c r="F2678" s="4">
        <v>0.25572730183681203</v>
      </c>
      <c r="G2678" s="4">
        <v>0.25572730183681203</v>
      </c>
      <c r="H2678" s="4">
        <v>0.25572730183681203</v>
      </c>
      <c r="I2678" s="4">
        <v>0.25572730183681203</v>
      </c>
      <c r="J2678" s="4">
        <v>0.25572730183681203</v>
      </c>
      <c r="K2678" s="4">
        <v>0.25572730183681203</v>
      </c>
      <c r="L2678" s="4">
        <v>0.25572730183681203</v>
      </c>
      <c r="M2678" s="4">
        <v>0.25572730183681203</v>
      </c>
      <c r="N2678" t="s">
        <v>256</v>
      </c>
      <c r="O2678" t="s">
        <v>690</v>
      </c>
      <c r="P2678" t="s">
        <v>689</v>
      </c>
      <c r="Q2678" t="s">
        <v>245</v>
      </c>
    </row>
    <row r="2679" spans="1:17" x14ac:dyDescent="0.25">
      <c r="A2679" t="s">
        <v>692</v>
      </c>
      <c r="B2679" t="s">
        <v>91</v>
      </c>
      <c r="C2679" s="4">
        <f t="shared" ref="C2679:M2679" si="1360">(0.0000919504300903769/(0.0000919504300903769+0.292442375462464+0.707465674107445))</f>
        <v>9.1950430090376967E-5</v>
      </c>
      <c r="D2679" s="4">
        <f t="shared" si="1360"/>
        <v>9.1950430090376967E-5</v>
      </c>
      <c r="E2679" s="4">
        <f t="shared" si="1360"/>
        <v>9.1950430090376967E-5</v>
      </c>
      <c r="F2679" s="4">
        <f t="shared" si="1360"/>
        <v>9.1950430090376967E-5</v>
      </c>
      <c r="G2679" s="4">
        <f t="shared" si="1360"/>
        <v>9.1950430090376967E-5</v>
      </c>
      <c r="H2679" s="4">
        <f t="shared" si="1360"/>
        <v>9.1950430090376967E-5</v>
      </c>
      <c r="I2679" s="4">
        <f t="shared" si="1360"/>
        <v>9.1950430090376967E-5</v>
      </c>
      <c r="J2679" s="4">
        <f t="shared" si="1360"/>
        <v>9.1950430090376967E-5</v>
      </c>
      <c r="K2679" s="4">
        <f t="shared" si="1360"/>
        <v>9.1950430090376967E-5</v>
      </c>
      <c r="L2679" s="4">
        <f t="shared" si="1360"/>
        <v>9.1950430090376967E-5</v>
      </c>
      <c r="M2679" s="4">
        <f t="shared" si="1360"/>
        <v>9.1950430090376967E-5</v>
      </c>
      <c r="N2679" t="s">
        <v>242</v>
      </c>
      <c r="O2679" t="s">
        <v>315</v>
      </c>
      <c r="P2679" t="s">
        <v>692</v>
      </c>
      <c r="Q2679" t="s">
        <v>245</v>
      </c>
    </row>
    <row r="2680" spans="1:17" x14ac:dyDescent="0.25">
      <c r="A2680" t="s">
        <v>692</v>
      </c>
      <c r="B2680" t="s">
        <v>91</v>
      </c>
      <c r="C2680" s="4">
        <f t="shared" ref="C2680:M2680" si="1361">(0.292442375462464/(0.0000919504300903769+0.292442375462464+0.707465674107445))</f>
        <v>0.29244237546246421</v>
      </c>
      <c r="D2680" s="4">
        <f t="shared" si="1361"/>
        <v>0.29244237546246421</v>
      </c>
      <c r="E2680" s="4">
        <f t="shared" si="1361"/>
        <v>0.29244237546246421</v>
      </c>
      <c r="F2680" s="4">
        <f t="shared" si="1361"/>
        <v>0.29244237546246421</v>
      </c>
      <c r="G2680" s="4">
        <f t="shared" si="1361"/>
        <v>0.29244237546246421</v>
      </c>
      <c r="H2680" s="4">
        <f t="shared" si="1361"/>
        <v>0.29244237546246421</v>
      </c>
      <c r="I2680" s="4">
        <f t="shared" si="1361"/>
        <v>0.29244237546246421</v>
      </c>
      <c r="J2680" s="4">
        <f t="shared" si="1361"/>
        <v>0.29244237546246421</v>
      </c>
      <c r="K2680" s="4">
        <f t="shared" si="1361"/>
        <v>0.29244237546246421</v>
      </c>
      <c r="L2680" s="4">
        <f t="shared" si="1361"/>
        <v>0.29244237546246421</v>
      </c>
      <c r="M2680" s="4">
        <f t="shared" si="1361"/>
        <v>0.29244237546246421</v>
      </c>
      <c r="N2680" t="s">
        <v>256</v>
      </c>
      <c r="O2680" t="s">
        <v>693</v>
      </c>
      <c r="P2680" t="s">
        <v>692</v>
      </c>
      <c r="Q2680" t="s">
        <v>245</v>
      </c>
    </row>
    <row r="2681" spans="1:17" x14ac:dyDescent="0.25">
      <c r="A2681" t="s">
        <v>692</v>
      </c>
      <c r="B2681" t="s">
        <v>91</v>
      </c>
      <c r="C2681" s="4">
        <f t="shared" ref="C2681:M2681" si="1362">(0.707465674107445/(0.0000919504300903769+0.292442375462464+0.707465674107445))</f>
        <v>0.70746567410744543</v>
      </c>
      <c r="D2681" s="4">
        <f t="shared" si="1362"/>
        <v>0.70746567410744543</v>
      </c>
      <c r="E2681" s="4">
        <f t="shared" si="1362"/>
        <v>0.70746567410744543</v>
      </c>
      <c r="F2681" s="4">
        <f t="shared" si="1362"/>
        <v>0.70746567410744543</v>
      </c>
      <c r="G2681" s="4">
        <f t="shared" si="1362"/>
        <v>0.70746567410744543</v>
      </c>
      <c r="H2681" s="4">
        <f t="shared" si="1362"/>
        <v>0.70746567410744543</v>
      </c>
      <c r="I2681" s="4">
        <f t="shared" si="1362"/>
        <v>0.70746567410744543</v>
      </c>
      <c r="J2681" s="4">
        <f t="shared" si="1362"/>
        <v>0.70746567410744543</v>
      </c>
      <c r="K2681" s="4">
        <f t="shared" si="1362"/>
        <v>0.70746567410744543</v>
      </c>
      <c r="L2681" s="4">
        <f t="shared" si="1362"/>
        <v>0.70746567410744543</v>
      </c>
      <c r="M2681" s="4">
        <f t="shared" si="1362"/>
        <v>0.70746567410744543</v>
      </c>
      <c r="N2681" t="s">
        <v>256</v>
      </c>
      <c r="O2681" t="s">
        <v>694</v>
      </c>
      <c r="P2681" t="s">
        <v>692</v>
      </c>
      <c r="Q2681" t="s">
        <v>245</v>
      </c>
    </row>
    <row r="2682" spans="1:17" x14ac:dyDescent="0.25">
      <c r="A2682" t="s">
        <v>689</v>
      </c>
      <c r="B2682" t="s">
        <v>91</v>
      </c>
      <c r="C2682" s="4">
        <v>3.3475970075393706E-2</v>
      </c>
      <c r="D2682" s="4">
        <v>3.3475970075393706E-2</v>
      </c>
      <c r="E2682" s="4">
        <v>3.3475970075393706E-2</v>
      </c>
      <c r="F2682" s="4">
        <v>3.3475970075393706E-2</v>
      </c>
      <c r="G2682" s="4">
        <v>3.3475970075393706E-2</v>
      </c>
      <c r="H2682" s="4">
        <v>3.3475970075393706E-2</v>
      </c>
      <c r="I2682" s="4">
        <v>3.3475970075393706E-2</v>
      </c>
      <c r="J2682" s="4">
        <v>3.3475970075393706E-2</v>
      </c>
      <c r="K2682" s="4">
        <v>3.3475970075393706E-2</v>
      </c>
      <c r="L2682" s="4">
        <v>3.3475970075393706E-2</v>
      </c>
      <c r="M2682" s="4">
        <v>3.3475970075393706E-2</v>
      </c>
      <c r="N2682" t="s">
        <v>256</v>
      </c>
      <c r="O2682" t="s">
        <v>690</v>
      </c>
      <c r="P2682" t="s">
        <v>689</v>
      </c>
      <c r="Q2682" t="s">
        <v>245</v>
      </c>
    </row>
    <row r="2683" spans="1:17" x14ac:dyDescent="0.25">
      <c r="A2683" t="s">
        <v>692</v>
      </c>
      <c r="B2683" t="s">
        <v>117</v>
      </c>
      <c r="C2683" s="4">
        <f t="shared" ref="C2683:M2683" si="1363">3.03758041510203%*(0.0000919504300903769/(0.0000919504300903769+0.292442375462464+0.707465674107445))</f>
        <v>2.7930682560273744E-6</v>
      </c>
      <c r="D2683" s="4">
        <f t="shared" si="1363"/>
        <v>2.7930682560273744E-6</v>
      </c>
      <c r="E2683" s="4">
        <f t="shared" si="1363"/>
        <v>2.7930682560273744E-6</v>
      </c>
      <c r="F2683" s="4">
        <f t="shared" si="1363"/>
        <v>2.7930682560273744E-6</v>
      </c>
      <c r="G2683" s="4">
        <f t="shared" si="1363"/>
        <v>2.7930682560273744E-6</v>
      </c>
      <c r="H2683" s="4">
        <f t="shared" si="1363"/>
        <v>2.7930682560273744E-6</v>
      </c>
      <c r="I2683" s="4">
        <f t="shared" si="1363"/>
        <v>2.7930682560273744E-6</v>
      </c>
      <c r="J2683" s="4">
        <f t="shared" si="1363"/>
        <v>2.7930682560273744E-6</v>
      </c>
      <c r="K2683" s="4">
        <f t="shared" si="1363"/>
        <v>2.7930682560273744E-6</v>
      </c>
      <c r="L2683" s="4">
        <f t="shared" si="1363"/>
        <v>2.7930682560273744E-6</v>
      </c>
      <c r="M2683" s="4">
        <f t="shared" si="1363"/>
        <v>2.7930682560273744E-6</v>
      </c>
      <c r="N2683" t="s">
        <v>242</v>
      </c>
      <c r="O2683" t="s">
        <v>315</v>
      </c>
      <c r="P2683" t="s">
        <v>692</v>
      </c>
      <c r="Q2683" t="s">
        <v>245</v>
      </c>
    </row>
    <row r="2684" spans="1:17" x14ac:dyDescent="0.25">
      <c r="A2684" t="s">
        <v>692</v>
      </c>
      <c r="B2684" t="s">
        <v>117</v>
      </c>
      <c r="C2684" s="4">
        <f t="shared" ref="C2684:M2684" si="1364">3.03758041510203%*(0.292442375462464/(0.0000919504300903769+0.292442375462464+0.707465674107445))</f>
        <v>8.8831723225069568E-3</v>
      </c>
      <c r="D2684" s="4">
        <f t="shared" si="1364"/>
        <v>8.8831723225069568E-3</v>
      </c>
      <c r="E2684" s="4">
        <f t="shared" si="1364"/>
        <v>8.8831723225069568E-3</v>
      </c>
      <c r="F2684" s="4">
        <f t="shared" si="1364"/>
        <v>8.8831723225069568E-3</v>
      </c>
      <c r="G2684" s="4">
        <f t="shared" si="1364"/>
        <v>8.8831723225069568E-3</v>
      </c>
      <c r="H2684" s="4">
        <f t="shared" si="1364"/>
        <v>8.8831723225069568E-3</v>
      </c>
      <c r="I2684" s="4">
        <f t="shared" si="1364"/>
        <v>8.8831723225069568E-3</v>
      </c>
      <c r="J2684" s="4">
        <f t="shared" si="1364"/>
        <v>8.8831723225069568E-3</v>
      </c>
      <c r="K2684" s="4">
        <f t="shared" si="1364"/>
        <v>8.8831723225069568E-3</v>
      </c>
      <c r="L2684" s="4">
        <f t="shared" si="1364"/>
        <v>8.8831723225069568E-3</v>
      </c>
      <c r="M2684" s="4">
        <f t="shared" si="1364"/>
        <v>8.8831723225069568E-3</v>
      </c>
      <c r="N2684" t="s">
        <v>256</v>
      </c>
      <c r="O2684" t="s">
        <v>693</v>
      </c>
      <c r="P2684" t="s">
        <v>692</v>
      </c>
      <c r="Q2684" t="s">
        <v>245</v>
      </c>
    </row>
    <row r="2685" spans="1:17" x14ac:dyDescent="0.25">
      <c r="A2685" t="s">
        <v>692</v>
      </c>
      <c r="B2685" t="s">
        <v>117</v>
      </c>
      <c r="C2685" s="4">
        <f t="shared" ref="C2685:M2685" si="1365">3.03758041510203%*(0.707465674107445/(0.0000919504300903769+0.292442375462464+0.707465674107445))</f>
        <v>2.1489838760257316E-2</v>
      </c>
      <c r="D2685" s="4">
        <f t="shared" si="1365"/>
        <v>2.1489838760257316E-2</v>
      </c>
      <c r="E2685" s="4">
        <f t="shared" si="1365"/>
        <v>2.1489838760257316E-2</v>
      </c>
      <c r="F2685" s="4">
        <f t="shared" si="1365"/>
        <v>2.1489838760257316E-2</v>
      </c>
      <c r="G2685" s="4">
        <f t="shared" si="1365"/>
        <v>2.1489838760257316E-2</v>
      </c>
      <c r="H2685" s="4">
        <f t="shared" si="1365"/>
        <v>2.1489838760257316E-2</v>
      </c>
      <c r="I2685" s="4">
        <f t="shared" si="1365"/>
        <v>2.1489838760257316E-2</v>
      </c>
      <c r="J2685" s="4">
        <f t="shared" si="1365"/>
        <v>2.1489838760257316E-2</v>
      </c>
      <c r="K2685" s="4">
        <f t="shared" si="1365"/>
        <v>2.1489838760257316E-2</v>
      </c>
      <c r="L2685" s="4">
        <f t="shared" si="1365"/>
        <v>2.1489838760257316E-2</v>
      </c>
      <c r="M2685" s="4">
        <f t="shared" si="1365"/>
        <v>2.1489838760257316E-2</v>
      </c>
      <c r="N2685" t="s">
        <v>256</v>
      </c>
      <c r="O2685" t="s">
        <v>694</v>
      </c>
      <c r="P2685" t="s">
        <v>692</v>
      </c>
      <c r="Q2685" t="s">
        <v>245</v>
      </c>
    </row>
    <row r="2686" spans="1:17" x14ac:dyDescent="0.25">
      <c r="A2686" t="s">
        <v>689</v>
      </c>
      <c r="B2686" t="s">
        <v>117</v>
      </c>
      <c r="C2686" s="4">
        <v>3.03758041510203E-2</v>
      </c>
      <c r="D2686" s="4">
        <v>3.03758041510203E-2</v>
      </c>
      <c r="E2686" s="4">
        <v>3.03758041510203E-2</v>
      </c>
      <c r="F2686" s="4">
        <v>3.03758041510203E-2</v>
      </c>
      <c r="G2686" s="4">
        <v>3.03758041510203E-2</v>
      </c>
      <c r="H2686" s="4">
        <v>3.03758041510203E-2</v>
      </c>
      <c r="I2686" s="4">
        <v>3.03758041510203E-2</v>
      </c>
      <c r="J2686" s="4">
        <v>3.03758041510203E-2</v>
      </c>
      <c r="K2686" s="4">
        <v>3.03758041510203E-2</v>
      </c>
      <c r="L2686" s="4">
        <v>3.03758041510203E-2</v>
      </c>
      <c r="M2686" s="4">
        <v>3.03758041510203E-2</v>
      </c>
      <c r="N2686" t="s">
        <v>691</v>
      </c>
      <c r="O2686" t="s">
        <v>690</v>
      </c>
      <c r="P2686" t="s">
        <v>689</v>
      </c>
      <c r="Q2686" t="s">
        <v>245</v>
      </c>
    </row>
    <row r="2687" spans="1:17" x14ac:dyDescent="0.25">
      <c r="A2687" t="s">
        <v>692</v>
      </c>
      <c r="B2687" t="s">
        <v>97</v>
      </c>
      <c r="C2687" s="4">
        <v>3.4785899339213458E-2</v>
      </c>
      <c r="D2687" s="4">
        <v>3.4785899339213458E-2</v>
      </c>
      <c r="E2687" s="4">
        <v>3.4785899339213458E-2</v>
      </c>
      <c r="F2687" s="4">
        <v>3.4785899339213458E-2</v>
      </c>
      <c r="G2687" s="4">
        <v>3.4785899339213458E-2</v>
      </c>
      <c r="H2687" s="4">
        <v>3.4785899339213458E-2</v>
      </c>
      <c r="I2687" s="4">
        <v>3.4785899339213458E-2</v>
      </c>
      <c r="J2687" s="4">
        <v>3.4785899339213458E-2</v>
      </c>
      <c r="K2687" s="4">
        <v>3.4785899339213458E-2</v>
      </c>
      <c r="L2687" s="4">
        <v>3.4785899339213458E-2</v>
      </c>
      <c r="M2687" s="4">
        <v>3.4785899339213458E-2</v>
      </c>
      <c r="N2687" t="s">
        <v>308</v>
      </c>
      <c r="O2687" t="s">
        <v>693</v>
      </c>
      <c r="P2687" t="s">
        <v>692</v>
      </c>
      <c r="Q2687" t="s">
        <v>245</v>
      </c>
    </row>
    <row r="2688" spans="1:17" x14ac:dyDescent="0.25">
      <c r="A2688" t="s">
        <v>689</v>
      </c>
      <c r="B2688" t="s">
        <v>97</v>
      </c>
      <c r="C2688" s="4">
        <v>3.4785899339213458E-2</v>
      </c>
      <c r="D2688" s="4">
        <v>3.4785899339213458E-2</v>
      </c>
      <c r="E2688" s="4">
        <v>3.4785899339213458E-2</v>
      </c>
      <c r="F2688" s="4">
        <v>3.4785899339213458E-2</v>
      </c>
      <c r="G2688" s="4">
        <v>3.4785899339213458E-2</v>
      </c>
      <c r="H2688" s="4">
        <v>3.4785899339213458E-2</v>
      </c>
      <c r="I2688" s="4">
        <v>3.4785899339213458E-2</v>
      </c>
      <c r="J2688" s="4">
        <v>3.4785899339213458E-2</v>
      </c>
      <c r="K2688" s="4">
        <v>3.4785899339213458E-2</v>
      </c>
      <c r="L2688" s="4">
        <v>3.4785899339213458E-2</v>
      </c>
      <c r="M2688" s="4">
        <v>3.4785899339213458E-2</v>
      </c>
      <c r="N2688" t="s">
        <v>256</v>
      </c>
      <c r="O2688" t="s">
        <v>690</v>
      </c>
      <c r="P2688" t="s">
        <v>689</v>
      </c>
      <c r="Q2688" t="s">
        <v>245</v>
      </c>
    </row>
    <row r="2689" spans="1:17" x14ac:dyDescent="0.25">
      <c r="A2689" t="s">
        <v>692</v>
      </c>
      <c r="B2689" t="s">
        <v>98</v>
      </c>
      <c r="C2689" s="4">
        <f t="shared" ref="C2689:M2689" si="1366">1.02465577969901%*(0.0000919504300903769/(0.0000919504300903769+0.292442375462464+0.707465674107445))</f>
        <v>9.4217539637914514E-7</v>
      </c>
      <c r="D2689" s="4">
        <f t="shared" si="1366"/>
        <v>9.4217539637914514E-7</v>
      </c>
      <c r="E2689" s="4">
        <f t="shared" si="1366"/>
        <v>9.4217539637914514E-7</v>
      </c>
      <c r="F2689" s="4">
        <f t="shared" si="1366"/>
        <v>9.4217539637914514E-7</v>
      </c>
      <c r="G2689" s="4">
        <f t="shared" si="1366"/>
        <v>9.4217539637914514E-7</v>
      </c>
      <c r="H2689" s="4">
        <f t="shared" si="1366"/>
        <v>9.4217539637914514E-7</v>
      </c>
      <c r="I2689" s="4">
        <f t="shared" si="1366"/>
        <v>9.4217539637914514E-7</v>
      </c>
      <c r="J2689" s="4">
        <f t="shared" si="1366"/>
        <v>9.4217539637914514E-7</v>
      </c>
      <c r="K2689" s="4">
        <f t="shared" si="1366"/>
        <v>9.4217539637914514E-7</v>
      </c>
      <c r="L2689" s="4">
        <f t="shared" si="1366"/>
        <v>9.4217539637914514E-7</v>
      </c>
      <c r="M2689" s="4">
        <f t="shared" si="1366"/>
        <v>9.4217539637914514E-7</v>
      </c>
      <c r="N2689" t="s">
        <v>242</v>
      </c>
      <c r="O2689" t="s">
        <v>315</v>
      </c>
      <c r="P2689" t="s">
        <v>692</v>
      </c>
      <c r="Q2689" t="s">
        <v>245</v>
      </c>
    </row>
    <row r="2690" spans="1:17" x14ac:dyDescent="0.25">
      <c r="A2690" t="s">
        <v>692</v>
      </c>
      <c r="B2690" t="s">
        <v>98</v>
      </c>
      <c r="C2690" s="4">
        <f t="shared" ref="C2690:M2690" si="1367">1.02465577969901%*(0.292442375462464/(0.0000919504300903769+0.292442375462464+0.707465674107445))</f>
        <v>2.9965277024652185E-3</v>
      </c>
      <c r="D2690" s="4">
        <f t="shared" si="1367"/>
        <v>2.9965277024652185E-3</v>
      </c>
      <c r="E2690" s="4">
        <f t="shared" si="1367"/>
        <v>2.9965277024652185E-3</v>
      </c>
      <c r="F2690" s="4">
        <f t="shared" si="1367"/>
        <v>2.9965277024652185E-3</v>
      </c>
      <c r="G2690" s="4">
        <f t="shared" si="1367"/>
        <v>2.9965277024652185E-3</v>
      </c>
      <c r="H2690" s="4">
        <f t="shared" si="1367"/>
        <v>2.9965277024652185E-3</v>
      </c>
      <c r="I2690" s="4">
        <f t="shared" si="1367"/>
        <v>2.9965277024652185E-3</v>
      </c>
      <c r="J2690" s="4">
        <f t="shared" si="1367"/>
        <v>2.9965277024652185E-3</v>
      </c>
      <c r="K2690" s="4">
        <f t="shared" si="1367"/>
        <v>2.9965277024652185E-3</v>
      </c>
      <c r="L2690" s="4">
        <f t="shared" si="1367"/>
        <v>2.9965277024652185E-3</v>
      </c>
      <c r="M2690" s="4">
        <f t="shared" si="1367"/>
        <v>2.9965277024652185E-3</v>
      </c>
      <c r="N2690" t="s">
        <v>256</v>
      </c>
      <c r="O2690" t="s">
        <v>693</v>
      </c>
      <c r="P2690" t="s">
        <v>692</v>
      </c>
      <c r="Q2690" t="s">
        <v>245</v>
      </c>
    </row>
    <row r="2691" spans="1:17" x14ac:dyDescent="0.25">
      <c r="A2691" t="s">
        <v>692</v>
      </c>
      <c r="B2691" t="s">
        <v>98</v>
      </c>
      <c r="C2691" s="4">
        <f t="shared" ref="C2691:M2691" si="1368">1.02465577969901%*(0.707465674107445/(0.0000919504300903769+0.292442375462464+0.707465674107445))</f>
        <v>7.2490879191285012E-3</v>
      </c>
      <c r="D2691" s="4">
        <f t="shared" si="1368"/>
        <v>7.2490879191285012E-3</v>
      </c>
      <c r="E2691" s="4">
        <f t="shared" si="1368"/>
        <v>7.2490879191285012E-3</v>
      </c>
      <c r="F2691" s="4">
        <f t="shared" si="1368"/>
        <v>7.2490879191285012E-3</v>
      </c>
      <c r="G2691" s="4">
        <f t="shared" si="1368"/>
        <v>7.2490879191285012E-3</v>
      </c>
      <c r="H2691" s="4">
        <f t="shared" si="1368"/>
        <v>7.2490879191285012E-3</v>
      </c>
      <c r="I2691" s="4">
        <f t="shared" si="1368"/>
        <v>7.2490879191285012E-3</v>
      </c>
      <c r="J2691" s="4">
        <f t="shared" si="1368"/>
        <v>7.2490879191285012E-3</v>
      </c>
      <c r="K2691" s="4">
        <f t="shared" si="1368"/>
        <v>7.2490879191285012E-3</v>
      </c>
      <c r="L2691" s="4">
        <f t="shared" si="1368"/>
        <v>7.2490879191285012E-3</v>
      </c>
      <c r="M2691" s="4">
        <f t="shared" si="1368"/>
        <v>7.2490879191285012E-3</v>
      </c>
      <c r="N2691" t="s">
        <v>256</v>
      </c>
      <c r="O2691" t="s">
        <v>694</v>
      </c>
      <c r="P2691" t="s">
        <v>692</v>
      </c>
      <c r="Q2691" t="s">
        <v>245</v>
      </c>
    </row>
    <row r="2692" spans="1:17" x14ac:dyDescent="0.25">
      <c r="A2692" t="s">
        <v>689</v>
      </c>
      <c r="B2692" t="s">
        <v>98</v>
      </c>
      <c r="C2692" s="4">
        <v>1.0246557796990101E-2</v>
      </c>
      <c r="D2692" s="4">
        <v>1.0246557796990101E-2</v>
      </c>
      <c r="E2692" s="4">
        <v>1.0246557796990101E-2</v>
      </c>
      <c r="F2692" s="4">
        <v>1.0246557796990101E-2</v>
      </c>
      <c r="G2692" s="4">
        <v>1.0246557796990101E-2</v>
      </c>
      <c r="H2692" s="4">
        <v>1.0246557796990101E-2</v>
      </c>
      <c r="I2692" s="4">
        <v>1.0246557796990101E-2</v>
      </c>
      <c r="J2692" s="4">
        <v>1.0246557796990101E-2</v>
      </c>
      <c r="K2692" s="4">
        <v>1.0246557796990101E-2</v>
      </c>
      <c r="L2692" s="4">
        <v>1.0246557796990101E-2</v>
      </c>
      <c r="M2692" s="4">
        <v>1.0246557796990101E-2</v>
      </c>
      <c r="N2692" t="s">
        <v>256</v>
      </c>
      <c r="O2692" t="s">
        <v>690</v>
      </c>
      <c r="P2692" t="s">
        <v>689</v>
      </c>
      <c r="Q2692" t="s">
        <v>245</v>
      </c>
    </row>
    <row r="2693" spans="1:17" x14ac:dyDescent="0.25">
      <c r="A2693" t="s">
        <v>692</v>
      </c>
      <c r="B2693" t="s">
        <v>182</v>
      </c>
      <c r="C2693" s="4">
        <f t="shared" ref="C2693:M2693" si="1369">3.92978779145926%*(0.0000919504300903769/(0.0000919504300903769+0.292442375462464+0.707465674107445))</f>
        <v>3.6134567758859158E-6</v>
      </c>
      <c r="D2693" s="4">
        <f t="shared" si="1369"/>
        <v>3.6134567758859158E-6</v>
      </c>
      <c r="E2693" s="4">
        <f t="shared" si="1369"/>
        <v>3.6134567758859158E-6</v>
      </c>
      <c r="F2693" s="4">
        <f t="shared" si="1369"/>
        <v>3.6134567758859158E-6</v>
      </c>
      <c r="G2693" s="4">
        <f t="shared" si="1369"/>
        <v>3.6134567758859158E-6</v>
      </c>
      <c r="H2693" s="4">
        <f t="shared" si="1369"/>
        <v>3.6134567758859158E-6</v>
      </c>
      <c r="I2693" s="4">
        <f t="shared" si="1369"/>
        <v>3.6134567758859158E-6</v>
      </c>
      <c r="J2693" s="4">
        <f t="shared" si="1369"/>
        <v>3.6134567758859158E-6</v>
      </c>
      <c r="K2693" s="4">
        <f t="shared" si="1369"/>
        <v>3.6134567758859158E-6</v>
      </c>
      <c r="L2693" s="4">
        <f t="shared" si="1369"/>
        <v>3.6134567758859158E-6</v>
      </c>
      <c r="M2693" s="4">
        <f t="shared" si="1369"/>
        <v>3.6134567758859158E-6</v>
      </c>
      <c r="N2693" t="s">
        <v>242</v>
      </c>
      <c r="O2693" t="s">
        <v>315</v>
      </c>
      <c r="P2693" t="s">
        <v>692</v>
      </c>
      <c r="Q2693" t="s">
        <v>245</v>
      </c>
    </row>
    <row r="2694" spans="1:17" x14ac:dyDescent="0.25">
      <c r="A2694" t="s">
        <v>692</v>
      </c>
      <c r="B2694" t="s">
        <v>182</v>
      </c>
      <c r="C2694" s="4">
        <f t="shared" ref="C2694:M2694" si="1370">3.92978779145926%*(0.292442375462464/(0.0000919504300903769+0.292442375462464+0.707465674107445))</f>
        <v>1.1492364767977369E-2</v>
      </c>
      <c r="D2694" s="4">
        <f t="shared" si="1370"/>
        <v>1.1492364767977369E-2</v>
      </c>
      <c r="E2694" s="4">
        <f t="shared" si="1370"/>
        <v>1.1492364767977369E-2</v>
      </c>
      <c r="F2694" s="4">
        <f t="shared" si="1370"/>
        <v>1.1492364767977369E-2</v>
      </c>
      <c r="G2694" s="4">
        <f t="shared" si="1370"/>
        <v>1.1492364767977369E-2</v>
      </c>
      <c r="H2694" s="4">
        <f t="shared" si="1370"/>
        <v>1.1492364767977369E-2</v>
      </c>
      <c r="I2694" s="4">
        <f t="shared" si="1370"/>
        <v>1.1492364767977369E-2</v>
      </c>
      <c r="J2694" s="4">
        <f t="shared" si="1370"/>
        <v>1.1492364767977369E-2</v>
      </c>
      <c r="K2694" s="4">
        <f t="shared" si="1370"/>
        <v>1.1492364767977369E-2</v>
      </c>
      <c r="L2694" s="4">
        <f t="shared" si="1370"/>
        <v>1.1492364767977369E-2</v>
      </c>
      <c r="M2694" s="4">
        <f t="shared" si="1370"/>
        <v>1.1492364767977369E-2</v>
      </c>
      <c r="N2694" t="s">
        <v>256</v>
      </c>
      <c r="O2694" t="s">
        <v>693</v>
      </c>
      <c r="P2694" t="s">
        <v>692</v>
      </c>
      <c r="Q2694" t="s">
        <v>245</v>
      </c>
    </row>
    <row r="2695" spans="1:17" x14ac:dyDescent="0.25">
      <c r="A2695" t="s">
        <v>692</v>
      </c>
      <c r="B2695" t="s">
        <v>182</v>
      </c>
      <c r="C2695" s="4">
        <f t="shared" ref="C2695:M2695" si="1371">3.92978779145926%*(0.707465674107445/(0.0000919504300903769+0.292442375462464+0.707465674107445))</f>
        <v>2.7801899689839343E-2</v>
      </c>
      <c r="D2695" s="4">
        <f t="shared" si="1371"/>
        <v>2.7801899689839343E-2</v>
      </c>
      <c r="E2695" s="4">
        <f t="shared" si="1371"/>
        <v>2.7801899689839343E-2</v>
      </c>
      <c r="F2695" s="4">
        <f t="shared" si="1371"/>
        <v>2.7801899689839343E-2</v>
      </c>
      <c r="G2695" s="4">
        <f t="shared" si="1371"/>
        <v>2.7801899689839343E-2</v>
      </c>
      <c r="H2695" s="4">
        <f t="shared" si="1371"/>
        <v>2.7801899689839343E-2</v>
      </c>
      <c r="I2695" s="4">
        <f t="shared" si="1371"/>
        <v>2.7801899689839343E-2</v>
      </c>
      <c r="J2695" s="4">
        <f t="shared" si="1371"/>
        <v>2.7801899689839343E-2</v>
      </c>
      <c r="K2695" s="4">
        <f t="shared" si="1371"/>
        <v>2.7801899689839343E-2</v>
      </c>
      <c r="L2695" s="4">
        <f t="shared" si="1371"/>
        <v>2.7801899689839343E-2</v>
      </c>
      <c r="M2695" s="4">
        <f t="shared" si="1371"/>
        <v>2.7801899689839343E-2</v>
      </c>
      <c r="N2695" t="s">
        <v>256</v>
      </c>
      <c r="O2695" t="s">
        <v>694</v>
      </c>
      <c r="P2695" t="s">
        <v>692</v>
      </c>
      <c r="Q2695" t="s">
        <v>245</v>
      </c>
    </row>
    <row r="2696" spans="1:17" x14ac:dyDescent="0.25">
      <c r="A2696" t="s">
        <v>689</v>
      </c>
      <c r="B2696" t="s">
        <v>182</v>
      </c>
      <c r="C2696" s="4">
        <v>3.9297877914592598E-2</v>
      </c>
      <c r="D2696" s="4">
        <v>3.9297877914592598E-2</v>
      </c>
      <c r="E2696" s="4">
        <v>3.9297877914592598E-2</v>
      </c>
      <c r="F2696" s="4">
        <v>3.9297877914592598E-2</v>
      </c>
      <c r="G2696" s="4">
        <v>3.9297877914592598E-2</v>
      </c>
      <c r="H2696" s="4">
        <v>3.9297877914592598E-2</v>
      </c>
      <c r="I2696" s="4">
        <v>3.9297877914592598E-2</v>
      </c>
      <c r="J2696" s="4">
        <v>3.9297877914592598E-2</v>
      </c>
      <c r="K2696" s="4">
        <v>3.9297877914592598E-2</v>
      </c>
      <c r="L2696" s="4">
        <v>3.9297877914592598E-2</v>
      </c>
      <c r="M2696" s="4">
        <v>3.9297877914592598E-2</v>
      </c>
      <c r="N2696" t="s">
        <v>256</v>
      </c>
      <c r="O2696" t="s">
        <v>690</v>
      </c>
      <c r="P2696" t="s">
        <v>689</v>
      </c>
      <c r="Q2696" t="s">
        <v>245</v>
      </c>
    </row>
    <row r="2697" spans="1:17" x14ac:dyDescent="0.25">
      <c r="A2697" t="s">
        <v>692</v>
      </c>
      <c r="B2697" t="s">
        <v>103</v>
      </c>
      <c r="C2697" s="4">
        <f t="shared" ref="C2697:M2697" si="1372">1.22260064623177%*(0.0000919504300903769/(0.0000919504300903769+0.292442375462464+0.707465674107445))</f>
        <v>1.1241865524978408E-6</v>
      </c>
      <c r="D2697" s="4">
        <f t="shared" si="1372"/>
        <v>1.1241865524978408E-6</v>
      </c>
      <c r="E2697" s="4">
        <f t="shared" si="1372"/>
        <v>1.1241865524978408E-6</v>
      </c>
      <c r="F2697" s="4">
        <f t="shared" si="1372"/>
        <v>1.1241865524978408E-6</v>
      </c>
      <c r="G2697" s="4">
        <f t="shared" si="1372"/>
        <v>1.1241865524978408E-6</v>
      </c>
      <c r="H2697" s="4">
        <f t="shared" si="1372"/>
        <v>1.1241865524978408E-6</v>
      </c>
      <c r="I2697" s="4">
        <f t="shared" si="1372"/>
        <v>1.1241865524978408E-6</v>
      </c>
      <c r="J2697" s="4">
        <f t="shared" si="1372"/>
        <v>1.1241865524978408E-6</v>
      </c>
      <c r="K2697" s="4">
        <f t="shared" si="1372"/>
        <v>1.1241865524978408E-6</v>
      </c>
      <c r="L2697" s="4">
        <f t="shared" si="1372"/>
        <v>1.1241865524978408E-6</v>
      </c>
      <c r="M2697" s="4">
        <f t="shared" si="1372"/>
        <v>1.1241865524978408E-6</v>
      </c>
      <c r="N2697" t="s">
        <v>242</v>
      </c>
      <c r="O2697" t="s">
        <v>315</v>
      </c>
      <c r="P2697" t="s">
        <v>692</v>
      </c>
      <c r="Q2697" t="s">
        <v>245</v>
      </c>
    </row>
    <row r="2698" spans="1:17" x14ac:dyDescent="0.25">
      <c r="A2698" t="s">
        <v>692</v>
      </c>
      <c r="B2698" t="s">
        <v>103</v>
      </c>
      <c r="C2698" s="4">
        <f t="shared" ref="C2698:M2698" si="1373">1.22260064623177%*(0.292442375462464/(0.0000919504300903769+0.292442375462464+0.707465674107445))</f>
        <v>3.5754023722596269E-3</v>
      </c>
      <c r="D2698" s="4">
        <f t="shared" si="1373"/>
        <v>3.5754023722596269E-3</v>
      </c>
      <c r="E2698" s="4">
        <f t="shared" si="1373"/>
        <v>3.5754023722596269E-3</v>
      </c>
      <c r="F2698" s="4">
        <f t="shared" si="1373"/>
        <v>3.5754023722596269E-3</v>
      </c>
      <c r="G2698" s="4">
        <f t="shared" si="1373"/>
        <v>3.5754023722596269E-3</v>
      </c>
      <c r="H2698" s="4">
        <f t="shared" si="1373"/>
        <v>3.5754023722596269E-3</v>
      </c>
      <c r="I2698" s="4">
        <f t="shared" si="1373"/>
        <v>3.5754023722596269E-3</v>
      </c>
      <c r="J2698" s="4">
        <f t="shared" si="1373"/>
        <v>3.5754023722596269E-3</v>
      </c>
      <c r="K2698" s="4">
        <f t="shared" si="1373"/>
        <v>3.5754023722596269E-3</v>
      </c>
      <c r="L2698" s="4">
        <f t="shared" si="1373"/>
        <v>3.5754023722596269E-3</v>
      </c>
      <c r="M2698" s="4">
        <f t="shared" si="1373"/>
        <v>3.5754023722596269E-3</v>
      </c>
      <c r="N2698" t="s">
        <v>256</v>
      </c>
      <c r="O2698" t="s">
        <v>693</v>
      </c>
      <c r="P2698" t="s">
        <v>692</v>
      </c>
      <c r="Q2698" t="s">
        <v>245</v>
      </c>
    </row>
    <row r="2699" spans="1:17" x14ac:dyDescent="0.25">
      <c r="A2699" t="s">
        <v>692</v>
      </c>
      <c r="B2699" t="s">
        <v>103</v>
      </c>
      <c r="C2699" s="4">
        <f t="shared" ref="C2699:M2699" si="1374">1.22260064623177%*(0.707465674107445/(0.0000919504300903769+0.292442375462464+0.707465674107445))</f>
        <v>8.6494799035055758E-3</v>
      </c>
      <c r="D2699" s="4">
        <f t="shared" si="1374"/>
        <v>8.6494799035055758E-3</v>
      </c>
      <c r="E2699" s="4">
        <f t="shared" si="1374"/>
        <v>8.6494799035055758E-3</v>
      </c>
      <c r="F2699" s="4">
        <f t="shared" si="1374"/>
        <v>8.6494799035055758E-3</v>
      </c>
      <c r="G2699" s="4">
        <f t="shared" si="1374"/>
        <v>8.6494799035055758E-3</v>
      </c>
      <c r="H2699" s="4">
        <f t="shared" si="1374"/>
        <v>8.6494799035055758E-3</v>
      </c>
      <c r="I2699" s="4">
        <f t="shared" si="1374"/>
        <v>8.6494799035055758E-3</v>
      </c>
      <c r="J2699" s="4">
        <f t="shared" si="1374"/>
        <v>8.6494799035055758E-3</v>
      </c>
      <c r="K2699" s="4">
        <f t="shared" si="1374"/>
        <v>8.6494799035055758E-3</v>
      </c>
      <c r="L2699" s="4">
        <f t="shared" si="1374"/>
        <v>8.6494799035055758E-3</v>
      </c>
      <c r="M2699" s="4">
        <f t="shared" si="1374"/>
        <v>8.6494799035055758E-3</v>
      </c>
      <c r="N2699" t="s">
        <v>256</v>
      </c>
      <c r="O2699" t="s">
        <v>694</v>
      </c>
      <c r="P2699" t="s">
        <v>692</v>
      </c>
      <c r="Q2699" t="s">
        <v>245</v>
      </c>
    </row>
    <row r="2700" spans="1:17" x14ac:dyDescent="0.25">
      <c r="A2700" t="s">
        <v>689</v>
      </c>
      <c r="B2700" t="s">
        <v>103</v>
      </c>
      <c r="C2700" s="4">
        <v>1.2226006462317701E-2</v>
      </c>
      <c r="D2700" s="4">
        <v>1.2226006462317701E-2</v>
      </c>
      <c r="E2700" s="4">
        <v>1.2226006462317701E-2</v>
      </c>
      <c r="F2700" s="4">
        <v>1.2226006462317701E-2</v>
      </c>
      <c r="G2700" s="4">
        <v>1.2226006462317701E-2</v>
      </c>
      <c r="H2700" s="4">
        <v>1.2226006462317701E-2</v>
      </c>
      <c r="I2700" s="4">
        <v>1.2226006462317701E-2</v>
      </c>
      <c r="J2700" s="4">
        <v>1.2226006462317701E-2</v>
      </c>
      <c r="K2700" s="4">
        <v>1.2226006462317701E-2</v>
      </c>
      <c r="L2700" s="4">
        <v>1.2226006462317701E-2</v>
      </c>
      <c r="M2700" s="4">
        <v>1.2226006462317701E-2</v>
      </c>
      <c r="N2700" t="s">
        <v>256</v>
      </c>
      <c r="O2700" t="s">
        <v>690</v>
      </c>
      <c r="P2700" t="s">
        <v>689</v>
      </c>
      <c r="Q2700" t="s">
        <v>245</v>
      </c>
    </row>
    <row r="2701" spans="1:17" x14ac:dyDescent="0.25">
      <c r="A2701" t="s">
        <v>692</v>
      </c>
      <c r="B2701" t="s">
        <v>150</v>
      </c>
      <c r="C2701" s="4">
        <f t="shared" ref="C2701:M2701" si="1375">0.756848019095858%*(0.0000919504300903769/(0.0000919504300903769+0.292442375462464+0.707465674107445))</f>
        <v>6.9592500868913982E-7</v>
      </c>
      <c r="D2701" s="4">
        <f t="shared" si="1375"/>
        <v>6.9592500868913982E-7</v>
      </c>
      <c r="E2701" s="4">
        <f t="shared" si="1375"/>
        <v>6.9592500868913982E-7</v>
      </c>
      <c r="F2701" s="4">
        <f t="shared" si="1375"/>
        <v>6.9592500868913982E-7</v>
      </c>
      <c r="G2701" s="4">
        <f t="shared" si="1375"/>
        <v>6.9592500868913982E-7</v>
      </c>
      <c r="H2701" s="4">
        <f t="shared" si="1375"/>
        <v>6.9592500868913982E-7</v>
      </c>
      <c r="I2701" s="4">
        <f t="shared" si="1375"/>
        <v>6.9592500868913982E-7</v>
      </c>
      <c r="J2701" s="4">
        <f t="shared" si="1375"/>
        <v>6.9592500868913982E-7</v>
      </c>
      <c r="K2701" s="4">
        <f t="shared" si="1375"/>
        <v>6.9592500868913982E-7</v>
      </c>
      <c r="L2701" s="4">
        <f t="shared" si="1375"/>
        <v>6.9592500868913982E-7</v>
      </c>
      <c r="M2701" s="4">
        <f t="shared" si="1375"/>
        <v>6.9592500868913982E-7</v>
      </c>
      <c r="N2701" t="s">
        <v>242</v>
      </c>
      <c r="O2701" t="s">
        <v>315</v>
      </c>
      <c r="P2701" t="s">
        <v>692</v>
      </c>
      <c r="Q2701" t="s">
        <v>245</v>
      </c>
    </row>
    <row r="2702" spans="1:17" x14ac:dyDescent="0.25">
      <c r="A2702" t="s">
        <v>692</v>
      </c>
      <c r="B2702" t="s">
        <v>150</v>
      </c>
      <c r="C2702" s="4">
        <f t="shared" ref="C2702:M2702" si="1376">0.756848019095858%*(0.292442375462464/(0.0000919504300903769+0.292442375462464+0.707465674107445))</f>
        <v>2.2133443256845318E-3</v>
      </c>
      <c r="D2702" s="4">
        <f t="shared" si="1376"/>
        <v>2.2133443256845318E-3</v>
      </c>
      <c r="E2702" s="4">
        <f t="shared" si="1376"/>
        <v>2.2133443256845318E-3</v>
      </c>
      <c r="F2702" s="4">
        <f t="shared" si="1376"/>
        <v>2.2133443256845318E-3</v>
      </c>
      <c r="G2702" s="4">
        <f t="shared" si="1376"/>
        <v>2.2133443256845318E-3</v>
      </c>
      <c r="H2702" s="4">
        <f t="shared" si="1376"/>
        <v>2.2133443256845318E-3</v>
      </c>
      <c r="I2702" s="4">
        <f t="shared" si="1376"/>
        <v>2.2133443256845318E-3</v>
      </c>
      <c r="J2702" s="4">
        <f t="shared" si="1376"/>
        <v>2.2133443256845318E-3</v>
      </c>
      <c r="K2702" s="4">
        <f t="shared" si="1376"/>
        <v>2.2133443256845318E-3</v>
      </c>
      <c r="L2702" s="4">
        <f t="shared" si="1376"/>
        <v>2.2133443256845318E-3</v>
      </c>
      <c r="M2702" s="4">
        <f t="shared" si="1376"/>
        <v>2.2133443256845318E-3</v>
      </c>
      <c r="N2702" t="s">
        <v>256</v>
      </c>
      <c r="O2702" t="s">
        <v>693</v>
      </c>
      <c r="P2702" t="s">
        <v>692</v>
      </c>
      <c r="Q2702" t="s">
        <v>245</v>
      </c>
    </row>
    <row r="2703" spans="1:17" x14ac:dyDescent="0.25">
      <c r="A2703" t="s">
        <v>692</v>
      </c>
      <c r="B2703" t="s">
        <v>150</v>
      </c>
      <c r="C2703" s="4">
        <f t="shared" ref="C2703:M2703" si="1377">0.756848019095858%*(0.707465674107445/(0.0000919504300903769+0.292442375462464+0.707465674107445))</f>
        <v>5.3544399402653585E-3</v>
      </c>
      <c r="D2703" s="4">
        <f t="shared" si="1377"/>
        <v>5.3544399402653585E-3</v>
      </c>
      <c r="E2703" s="4">
        <f t="shared" si="1377"/>
        <v>5.3544399402653585E-3</v>
      </c>
      <c r="F2703" s="4">
        <f t="shared" si="1377"/>
        <v>5.3544399402653585E-3</v>
      </c>
      <c r="G2703" s="4">
        <f t="shared" si="1377"/>
        <v>5.3544399402653585E-3</v>
      </c>
      <c r="H2703" s="4">
        <f t="shared" si="1377"/>
        <v>5.3544399402653585E-3</v>
      </c>
      <c r="I2703" s="4">
        <f t="shared" si="1377"/>
        <v>5.3544399402653585E-3</v>
      </c>
      <c r="J2703" s="4">
        <f t="shared" si="1377"/>
        <v>5.3544399402653585E-3</v>
      </c>
      <c r="K2703" s="4">
        <f t="shared" si="1377"/>
        <v>5.3544399402653585E-3</v>
      </c>
      <c r="L2703" s="4">
        <f t="shared" si="1377"/>
        <v>5.3544399402653585E-3</v>
      </c>
      <c r="M2703" s="4">
        <f t="shared" si="1377"/>
        <v>5.3544399402653585E-3</v>
      </c>
      <c r="N2703" t="s">
        <v>256</v>
      </c>
      <c r="O2703" t="s">
        <v>694</v>
      </c>
      <c r="P2703" t="s">
        <v>692</v>
      </c>
      <c r="Q2703" t="s">
        <v>245</v>
      </c>
    </row>
    <row r="2704" spans="1:17" x14ac:dyDescent="0.25">
      <c r="A2704" t="s">
        <v>689</v>
      </c>
      <c r="B2704" t="s">
        <v>150</v>
      </c>
      <c r="C2704" s="4">
        <v>7.5684801909585804E-3</v>
      </c>
      <c r="D2704" s="4">
        <v>7.5684801909585804E-3</v>
      </c>
      <c r="E2704" s="4">
        <v>7.5684801909585804E-3</v>
      </c>
      <c r="F2704" s="4">
        <v>7.5684801909585804E-3</v>
      </c>
      <c r="G2704" s="4">
        <v>7.5684801909585804E-3</v>
      </c>
      <c r="H2704" s="4">
        <v>7.5684801909585804E-3</v>
      </c>
      <c r="I2704" s="4">
        <v>7.5684801909585804E-3</v>
      </c>
      <c r="J2704" s="4">
        <v>7.5684801909585804E-3</v>
      </c>
      <c r="K2704" s="4">
        <v>7.5684801909585804E-3</v>
      </c>
      <c r="L2704" s="4">
        <v>7.5684801909585804E-3</v>
      </c>
      <c r="M2704" s="4">
        <v>7.5684801909585804E-3</v>
      </c>
      <c r="N2704" t="s">
        <v>256</v>
      </c>
      <c r="O2704" t="s">
        <v>690</v>
      </c>
      <c r="P2704" t="s">
        <v>689</v>
      </c>
      <c r="Q2704" t="s">
        <v>245</v>
      </c>
    </row>
    <row r="2705" spans="1:17" x14ac:dyDescent="0.25">
      <c r="A2705" t="s">
        <v>692</v>
      </c>
      <c r="B2705" t="s">
        <v>130</v>
      </c>
      <c r="C2705" s="4">
        <f t="shared" ref="C2705:M2705" si="1378">15.719151165837%*(0.0000919504300903769/(0.0000919504300903769+0.292442375462464+0.707465674107445))</f>
        <v>1.4453827103543628E-5</v>
      </c>
      <c r="D2705" s="4">
        <f t="shared" si="1378"/>
        <v>1.4453827103543628E-5</v>
      </c>
      <c r="E2705" s="4">
        <f t="shared" si="1378"/>
        <v>1.4453827103543628E-5</v>
      </c>
      <c r="F2705" s="4">
        <f t="shared" si="1378"/>
        <v>1.4453827103543628E-5</v>
      </c>
      <c r="G2705" s="4">
        <f t="shared" si="1378"/>
        <v>1.4453827103543628E-5</v>
      </c>
      <c r="H2705" s="4">
        <f t="shared" si="1378"/>
        <v>1.4453827103543628E-5</v>
      </c>
      <c r="I2705" s="4">
        <f t="shared" si="1378"/>
        <v>1.4453827103543628E-5</v>
      </c>
      <c r="J2705" s="4">
        <f t="shared" si="1378"/>
        <v>1.4453827103543628E-5</v>
      </c>
      <c r="K2705" s="4">
        <f t="shared" si="1378"/>
        <v>1.4453827103543628E-5</v>
      </c>
      <c r="L2705" s="4">
        <f t="shared" si="1378"/>
        <v>1.4453827103543628E-5</v>
      </c>
      <c r="M2705" s="4">
        <f t="shared" si="1378"/>
        <v>1.4453827103543628E-5</v>
      </c>
      <c r="N2705" t="s">
        <v>242</v>
      </c>
      <c r="O2705" t="s">
        <v>315</v>
      </c>
      <c r="P2705" t="s">
        <v>692</v>
      </c>
      <c r="Q2705" t="s">
        <v>245</v>
      </c>
    </row>
    <row r="2706" spans="1:17" x14ac:dyDescent="0.25">
      <c r="A2706" t="s">
        <v>692</v>
      </c>
      <c r="B2706" t="s">
        <v>130</v>
      </c>
      <c r="C2706" s="4">
        <f t="shared" ref="C2706:M2706" si="1379">15.719151165837%*(0.292442375462464/(0.0000919504300903769+0.292442375462464+0.707465674107445))</f>
        <v>4.5969459071909358E-2</v>
      </c>
      <c r="D2706" s="4">
        <f t="shared" si="1379"/>
        <v>4.5969459071909358E-2</v>
      </c>
      <c r="E2706" s="4">
        <f t="shared" si="1379"/>
        <v>4.5969459071909358E-2</v>
      </c>
      <c r="F2706" s="4">
        <f t="shared" si="1379"/>
        <v>4.5969459071909358E-2</v>
      </c>
      <c r="G2706" s="4">
        <f t="shared" si="1379"/>
        <v>4.5969459071909358E-2</v>
      </c>
      <c r="H2706" s="4">
        <f t="shared" si="1379"/>
        <v>4.5969459071909358E-2</v>
      </c>
      <c r="I2706" s="4">
        <f t="shared" si="1379"/>
        <v>4.5969459071909358E-2</v>
      </c>
      <c r="J2706" s="4">
        <f t="shared" si="1379"/>
        <v>4.5969459071909358E-2</v>
      </c>
      <c r="K2706" s="4">
        <f t="shared" si="1379"/>
        <v>4.5969459071909358E-2</v>
      </c>
      <c r="L2706" s="4">
        <f t="shared" si="1379"/>
        <v>4.5969459071909358E-2</v>
      </c>
      <c r="M2706" s="4">
        <f t="shared" si="1379"/>
        <v>4.5969459071909358E-2</v>
      </c>
      <c r="N2706" t="s">
        <v>256</v>
      </c>
      <c r="O2706" t="s">
        <v>693</v>
      </c>
      <c r="P2706" t="s">
        <v>692</v>
      </c>
      <c r="Q2706" t="s">
        <v>245</v>
      </c>
    </row>
    <row r="2707" spans="1:17" x14ac:dyDescent="0.25">
      <c r="A2707" t="s">
        <v>692</v>
      </c>
      <c r="B2707" t="s">
        <v>130</v>
      </c>
      <c r="C2707" s="4">
        <f t="shared" ref="C2707:M2707" si="1380">15.719151165837%*(0.707465674107445/(0.0000919504300903769+0.292442375462464+0.707465674107445))</f>
        <v>0.1112075987593571</v>
      </c>
      <c r="D2707" s="4">
        <f t="shared" si="1380"/>
        <v>0.1112075987593571</v>
      </c>
      <c r="E2707" s="4">
        <f t="shared" si="1380"/>
        <v>0.1112075987593571</v>
      </c>
      <c r="F2707" s="4">
        <f t="shared" si="1380"/>
        <v>0.1112075987593571</v>
      </c>
      <c r="G2707" s="4">
        <f t="shared" si="1380"/>
        <v>0.1112075987593571</v>
      </c>
      <c r="H2707" s="4">
        <f t="shared" si="1380"/>
        <v>0.1112075987593571</v>
      </c>
      <c r="I2707" s="4">
        <f t="shared" si="1380"/>
        <v>0.1112075987593571</v>
      </c>
      <c r="J2707" s="4">
        <f t="shared" si="1380"/>
        <v>0.1112075987593571</v>
      </c>
      <c r="K2707" s="4">
        <f t="shared" si="1380"/>
        <v>0.1112075987593571</v>
      </c>
      <c r="L2707" s="4">
        <f t="shared" si="1380"/>
        <v>0.1112075987593571</v>
      </c>
      <c r="M2707" s="4">
        <f t="shared" si="1380"/>
        <v>0.1112075987593571</v>
      </c>
      <c r="N2707" t="s">
        <v>256</v>
      </c>
      <c r="O2707" t="s">
        <v>694</v>
      </c>
      <c r="P2707" t="s">
        <v>692</v>
      </c>
      <c r="Q2707" t="s">
        <v>245</v>
      </c>
    </row>
    <row r="2708" spans="1:17" x14ac:dyDescent="0.25">
      <c r="A2708" t="s">
        <v>689</v>
      </c>
      <c r="B2708" t="s">
        <v>130</v>
      </c>
      <c r="C2708" s="4">
        <v>0.15719151165837</v>
      </c>
      <c r="D2708" s="4">
        <v>0.15719151165837</v>
      </c>
      <c r="E2708" s="4">
        <v>0.15719151165837</v>
      </c>
      <c r="F2708" s="4">
        <v>0.15719151165837</v>
      </c>
      <c r="G2708" s="4">
        <v>0.15719151165837</v>
      </c>
      <c r="H2708" s="4">
        <v>0.15719151165837</v>
      </c>
      <c r="I2708" s="4">
        <v>0.15719151165837</v>
      </c>
      <c r="J2708" s="4">
        <v>0.15719151165837</v>
      </c>
      <c r="K2708" s="4">
        <v>0.15719151165837</v>
      </c>
      <c r="L2708" s="4">
        <v>0.15719151165837</v>
      </c>
      <c r="M2708" s="4">
        <v>0.15719151165837</v>
      </c>
      <c r="N2708" t="s">
        <v>256</v>
      </c>
      <c r="O2708" t="s">
        <v>690</v>
      </c>
      <c r="P2708" t="s">
        <v>689</v>
      </c>
      <c r="Q2708" t="s">
        <v>245</v>
      </c>
    </row>
    <row r="2709" spans="1:17" x14ac:dyDescent="0.25">
      <c r="A2709" t="s">
        <v>692</v>
      </c>
      <c r="B2709" t="s">
        <v>151</v>
      </c>
      <c r="C2709" s="4">
        <f t="shared" ref="C2709:M2709" si="1381">1.55444939306611%*(0.0000919504300903769/(0.0000919504300903769+0.292442375462464+0.707465674107445))</f>
        <v>1.4293229024615426E-6</v>
      </c>
      <c r="D2709" s="4">
        <f t="shared" si="1381"/>
        <v>1.4293229024615426E-6</v>
      </c>
      <c r="E2709" s="4">
        <f t="shared" si="1381"/>
        <v>1.4293229024615426E-6</v>
      </c>
      <c r="F2709" s="4">
        <f t="shared" si="1381"/>
        <v>1.4293229024615426E-6</v>
      </c>
      <c r="G2709" s="4">
        <f t="shared" si="1381"/>
        <v>1.4293229024615426E-6</v>
      </c>
      <c r="H2709" s="4">
        <f t="shared" si="1381"/>
        <v>1.4293229024615426E-6</v>
      </c>
      <c r="I2709" s="4">
        <f t="shared" si="1381"/>
        <v>1.4293229024615426E-6</v>
      </c>
      <c r="J2709" s="4">
        <f t="shared" si="1381"/>
        <v>1.4293229024615426E-6</v>
      </c>
      <c r="K2709" s="4">
        <f t="shared" si="1381"/>
        <v>1.4293229024615426E-6</v>
      </c>
      <c r="L2709" s="4">
        <f t="shared" si="1381"/>
        <v>1.4293229024615426E-6</v>
      </c>
      <c r="M2709" s="4">
        <f t="shared" si="1381"/>
        <v>1.4293229024615426E-6</v>
      </c>
      <c r="N2709" t="s">
        <v>242</v>
      </c>
      <c r="O2709" t="s">
        <v>315</v>
      </c>
      <c r="P2709" t="s">
        <v>692</v>
      </c>
      <c r="Q2709" t="s">
        <v>245</v>
      </c>
    </row>
    <row r="2710" spans="1:17" x14ac:dyDescent="0.25">
      <c r="A2710" t="s">
        <v>692</v>
      </c>
      <c r="B2710" t="s">
        <v>151</v>
      </c>
      <c r="C2710" s="4">
        <f t="shared" ref="C2710:M2710" si="1382">1.55444939306611%*(0.292442375462464/(0.0000919504300903769+0.292442375462464+0.707465674107445))</f>
        <v>4.5458687304443897E-3</v>
      </c>
      <c r="D2710" s="4">
        <f t="shared" si="1382"/>
        <v>4.5458687304443897E-3</v>
      </c>
      <c r="E2710" s="4">
        <f t="shared" si="1382"/>
        <v>4.5458687304443897E-3</v>
      </c>
      <c r="F2710" s="4">
        <f t="shared" si="1382"/>
        <v>4.5458687304443897E-3</v>
      </c>
      <c r="G2710" s="4">
        <f t="shared" si="1382"/>
        <v>4.5458687304443897E-3</v>
      </c>
      <c r="H2710" s="4">
        <f t="shared" si="1382"/>
        <v>4.5458687304443897E-3</v>
      </c>
      <c r="I2710" s="4">
        <f t="shared" si="1382"/>
        <v>4.5458687304443897E-3</v>
      </c>
      <c r="J2710" s="4">
        <f t="shared" si="1382"/>
        <v>4.5458687304443897E-3</v>
      </c>
      <c r="K2710" s="4">
        <f t="shared" si="1382"/>
        <v>4.5458687304443897E-3</v>
      </c>
      <c r="L2710" s="4">
        <f t="shared" si="1382"/>
        <v>4.5458687304443897E-3</v>
      </c>
      <c r="M2710" s="4">
        <f t="shared" si="1382"/>
        <v>4.5458687304443897E-3</v>
      </c>
      <c r="N2710" t="s">
        <v>256</v>
      </c>
      <c r="O2710" t="s">
        <v>693</v>
      </c>
      <c r="P2710" t="s">
        <v>692</v>
      </c>
      <c r="Q2710" t="s">
        <v>245</v>
      </c>
    </row>
    <row r="2711" spans="1:17" x14ac:dyDescent="0.25">
      <c r="A2711" t="s">
        <v>692</v>
      </c>
      <c r="B2711" t="s">
        <v>151</v>
      </c>
      <c r="C2711" s="4">
        <f t="shared" ref="C2711:M2711" si="1383">1.55444939306611%*(0.707465674107445/(0.0000919504300903769+0.292442375462464+0.707465674107445))</f>
        <v>1.099719587731425E-2</v>
      </c>
      <c r="D2711" s="4">
        <f t="shared" si="1383"/>
        <v>1.099719587731425E-2</v>
      </c>
      <c r="E2711" s="4">
        <f t="shared" si="1383"/>
        <v>1.099719587731425E-2</v>
      </c>
      <c r="F2711" s="4">
        <f t="shared" si="1383"/>
        <v>1.099719587731425E-2</v>
      </c>
      <c r="G2711" s="4">
        <f t="shared" si="1383"/>
        <v>1.099719587731425E-2</v>
      </c>
      <c r="H2711" s="4">
        <f t="shared" si="1383"/>
        <v>1.099719587731425E-2</v>
      </c>
      <c r="I2711" s="4">
        <f t="shared" si="1383"/>
        <v>1.099719587731425E-2</v>
      </c>
      <c r="J2711" s="4">
        <f t="shared" si="1383"/>
        <v>1.099719587731425E-2</v>
      </c>
      <c r="K2711" s="4">
        <f t="shared" si="1383"/>
        <v>1.099719587731425E-2</v>
      </c>
      <c r="L2711" s="4">
        <f t="shared" si="1383"/>
        <v>1.099719587731425E-2</v>
      </c>
      <c r="M2711" s="4">
        <f t="shared" si="1383"/>
        <v>1.099719587731425E-2</v>
      </c>
      <c r="N2711" t="s">
        <v>256</v>
      </c>
      <c r="O2711" t="s">
        <v>694</v>
      </c>
      <c r="P2711" t="s">
        <v>692</v>
      </c>
      <c r="Q2711" t="s">
        <v>245</v>
      </c>
    </row>
    <row r="2712" spans="1:17" x14ac:dyDescent="0.25">
      <c r="A2712" t="s">
        <v>689</v>
      </c>
      <c r="B2712" t="s">
        <v>151</v>
      </c>
      <c r="C2712" s="4">
        <v>1.55444939306611E-2</v>
      </c>
      <c r="D2712" s="4">
        <v>1.55444939306611E-2</v>
      </c>
      <c r="E2712" s="4">
        <v>1.55444939306611E-2</v>
      </c>
      <c r="F2712" s="4">
        <v>1.55444939306611E-2</v>
      </c>
      <c r="G2712" s="4">
        <v>1.55444939306611E-2</v>
      </c>
      <c r="H2712" s="4">
        <v>1.55444939306611E-2</v>
      </c>
      <c r="I2712" s="4">
        <v>1.55444939306611E-2</v>
      </c>
      <c r="J2712" s="4">
        <v>1.55444939306611E-2</v>
      </c>
      <c r="K2712" s="4">
        <v>1.55444939306611E-2</v>
      </c>
      <c r="L2712" s="4">
        <v>1.55444939306611E-2</v>
      </c>
      <c r="M2712" s="4">
        <v>1.55444939306611E-2</v>
      </c>
      <c r="N2712" t="s">
        <v>256</v>
      </c>
      <c r="O2712" t="s">
        <v>690</v>
      </c>
      <c r="P2712" t="s">
        <v>689</v>
      </c>
      <c r="Q2712" t="s">
        <v>245</v>
      </c>
    </row>
    <row r="2713" spans="1:17" x14ac:dyDescent="0.25">
      <c r="A2713" t="s">
        <v>692</v>
      </c>
      <c r="B2713" t="s">
        <v>107</v>
      </c>
      <c r="C2713" s="4">
        <f t="shared" ref="C2713:M2713" si="1384">2.1249963613076%*(0.0000919504300903769/(0.0000919504300903769+0.292442375462464+0.707465674107445))</f>
        <v>1.9539432936271994E-6</v>
      </c>
      <c r="D2713" s="4">
        <f t="shared" si="1384"/>
        <v>1.9539432936271994E-6</v>
      </c>
      <c r="E2713" s="4">
        <f t="shared" si="1384"/>
        <v>1.9539432936271994E-6</v>
      </c>
      <c r="F2713" s="4">
        <f t="shared" si="1384"/>
        <v>1.9539432936271994E-6</v>
      </c>
      <c r="G2713" s="4">
        <f t="shared" si="1384"/>
        <v>1.9539432936271994E-6</v>
      </c>
      <c r="H2713" s="4">
        <f t="shared" si="1384"/>
        <v>1.9539432936271994E-6</v>
      </c>
      <c r="I2713" s="4">
        <f t="shared" si="1384"/>
        <v>1.9539432936271994E-6</v>
      </c>
      <c r="J2713" s="4">
        <f t="shared" si="1384"/>
        <v>1.9539432936271994E-6</v>
      </c>
      <c r="K2713" s="4">
        <f t="shared" si="1384"/>
        <v>1.9539432936271994E-6</v>
      </c>
      <c r="L2713" s="4">
        <f t="shared" si="1384"/>
        <v>1.9539432936271994E-6</v>
      </c>
      <c r="M2713" s="4">
        <f t="shared" si="1384"/>
        <v>1.9539432936271994E-6</v>
      </c>
      <c r="N2713" t="s">
        <v>242</v>
      </c>
      <c r="O2713" t="s">
        <v>315</v>
      </c>
      <c r="P2713" t="s">
        <v>692</v>
      </c>
      <c r="Q2713" t="s">
        <v>245</v>
      </c>
    </row>
    <row r="2714" spans="1:17" x14ac:dyDescent="0.25">
      <c r="A2714" t="s">
        <v>692</v>
      </c>
      <c r="B2714" t="s">
        <v>107</v>
      </c>
      <c r="C2714" s="4">
        <f t="shared" ref="C2714:M2714" si="1385">2.1249963613076%*(0.292442375462464/(0.0000919504300903769+0.292442375462464+0.707465674107445))</f>
        <v>6.2143898374988748E-3</v>
      </c>
      <c r="D2714" s="4">
        <f t="shared" si="1385"/>
        <v>6.2143898374988748E-3</v>
      </c>
      <c r="E2714" s="4">
        <f t="shared" si="1385"/>
        <v>6.2143898374988748E-3</v>
      </c>
      <c r="F2714" s="4">
        <f t="shared" si="1385"/>
        <v>6.2143898374988748E-3</v>
      </c>
      <c r="G2714" s="4">
        <f t="shared" si="1385"/>
        <v>6.2143898374988748E-3</v>
      </c>
      <c r="H2714" s="4">
        <f t="shared" si="1385"/>
        <v>6.2143898374988748E-3</v>
      </c>
      <c r="I2714" s="4">
        <f t="shared" si="1385"/>
        <v>6.2143898374988748E-3</v>
      </c>
      <c r="J2714" s="4">
        <f t="shared" si="1385"/>
        <v>6.2143898374988748E-3</v>
      </c>
      <c r="K2714" s="4">
        <f t="shared" si="1385"/>
        <v>6.2143898374988748E-3</v>
      </c>
      <c r="L2714" s="4">
        <f t="shared" si="1385"/>
        <v>6.2143898374988748E-3</v>
      </c>
      <c r="M2714" s="4">
        <f t="shared" si="1385"/>
        <v>6.2143898374988748E-3</v>
      </c>
      <c r="N2714" t="s">
        <v>256</v>
      </c>
      <c r="O2714" t="s">
        <v>693</v>
      </c>
      <c r="P2714" t="s">
        <v>692</v>
      </c>
      <c r="Q2714" t="s">
        <v>245</v>
      </c>
    </row>
    <row r="2715" spans="1:17" x14ac:dyDescent="0.25">
      <c r="A2715" t="s">
        <v>692</v>
      </c>
      <c r="B2715" t="s">
        <v>107</v>
      </c>
      <c r="C2715" s="4">
        <f t="shared" ref="C2715:M2715" si="1386">2.1249963613076%*(0.707465674107445/(0.0000919504300903769+0.292442375462464+0.707465674107445))</f>
        <v>1.5033619832283501E-2</v>
      </c>
      <c r="D2715" s="4">
        <f t="shared" si="1386"/>
        <v>1.5033619832283501E-2</v>
      </c>
      <c r="E2715" s="4">
        <f t="shared" si="1386"/>
        <v>1.5033619832283501E-2</v>
      </c>
      <c r="F2715" s="4">
        <f t="shared" si="1386"/>
        <v>1.5033619832283501E-2</v>
      </c>
      <c r="G2715" s="4">
        <f t="shared" si="1386"/>
        <v>1.5033619832283501E-2</v>
      </c>
      <c r="H2715" s="4">
        <f t="shared" si="1386"/>
        <v>1.5033619832283501E-2</v>
      </c>
      <c r="I2715" s="4">
        <f t="shared" si="1386"/>
        <v>1.5033619832283501E-2</v>
      </c>
      <c r="J2715" s="4">
        <f t="shared" si="1386"/>
        <v>1.5033619832283501E-2</v>
      </c>
      <c r="K2715" s="4">
        <f t="shared" si="1386"/>
        <v>1.5033619832283501E-2</v>
      </c>
      <c r="L2715" s="4">
        <f t="shared" si="1386"/>
        <v>1.5033619832283501E-2</v>
      </c>
      <c r="M2715" s="4">
        <f t="shared" si="1386"/>
        <v>1.5033619832283501E-2</v>
      </c>
      <c r="N2715" t="s">
        <v>256</v>
      </c>
      <c r="O2715" t="s">
        <v>694</v>
      </c>
      <c r="P2715" t="s">
        <v>692</v>
      </c>
      <c r="Q2715" t="s">
        <v>245</v>
      </c>
    </row>
    <row r="2716" spans="1:17" x14ac:dyDescent="0.25">
      <c r="A2716" t="s">
        <v>689</v>
      </c>
      <c r="B2716" t="s">
        <v>107</v>
      </c>
      <c r="C2716" s="4">
        <v>2.1249963613076E-2</v>
      </c>
      <c r="D2716" s="4">
        <v>2.1249963613076E-2</v>
      </c>
      <c r="E2716" s="4">
        <v>2.1249963613076E-2</v>
      </c>
      <c r="F2716" s="4">
        <v>2.1249963613076E-2</v>
      </c>
      <c r="G2716" s="4">
        <v>2.1249963613076E-2</v>
      </c>
      <c r="H2716" s="4">
        <v>2.1249963613076E-2</v>
      </c>
      <c r="I2716" s="4">
        <v>2.1249963613076E-2</v>
      </c>
      <c r="J2716" s="4">
        <v>2.1249963613076E-2</v>
      </c>
      <c r="K2716" s="4">
        <v>2.1249963613076E-2</v>
      </c>
      <c r="L2716" s="4">
        <v>2.1249963613076E-2</v>
      </c>
      <c r="M2716" s="4">
        <v>2.1249963613076E-2</v>
      </c>
      <c r="N2716" t="s">
        <v>256</v>
      </c>
      <c r="O2716" t="s">
        <v>690</v>
      </c>
      <c r="P2716" t="s">
        <v>689</v>
      </c>
      <c r="Q2716" t="s">
        <v>245</v>
      </c>
    </row>
    <row r="2717" spans="1:17" x14ac:dyDescent="0.25">
      <c r="A2717" t="s">
        <v>692</v>
      </c>
      <c r="B2717" t="s">
        <v>137</v>
      </c>
      <c r="C2717" s="4">
        <f t="shared" ref="C2717:M2717" si="1387">0.63749890839228%*(0.0000919504300903769/(0.0000919504300903769+0.292442375462464+0.707465674107445))</f>
        <v>5.8618298808815962E-7</v>
      </c>
      <c r="D2717" s="4">
        <f t="shared" si="1387"/>
        <v>5.8618298808815962E-7</v>
      </c>
      <c r="E2717" s="4">
        <f t="shared" si="1387"/>
        <v>5.8618298808815962E-7</v>
      </c>
      <c r="F2717" s="4">
        <f t="shared" si="1387"/>
        <v>5.8618298808815962E-7</v>
      </c>
      <c r="G2717" s="4">
        <f t="shared" si="1387"/>
        <v>5.8618298808815962E-7</v>
      </c>
      <c r="H2717" s="4">
        <f t="shared" si="1387"/>
        <v>5.8618298808815962E-7</v>
      </c>
      <c r="I2717" s="4">
        <f t="shared" si="1387"/>
        <v>5.8618298808815962E-7</v>
      </c>
      <c r="J2717" s="4">
        <f t="shared" si="1387"/>
        <v>5.8618298808815962E-7</v>
      </c>
      <c r="K2717" s="4">
        <f t="shared" si="1387"/>
        <v>5.8618298808815962E-7</v>
      </c>
      <c r="L2717" s="4">
        <f t="shared" si="1387"/>
        <v>5.8618298808815962E-7</v>
      </c>
      <c r="M2717" s="4">
        <f t="shared" si="1387"/>
        <v>5.8618298808815962E-7</v>
      </c>
      <c r="N2717" t="s">
        <v>242</v>
      </c>
      <c r="O2717" t="s">
        <v>315</v>
      </c>
      <c r="P2717" t="s">
        <v>692</v>
      </c>
      <c r="Q2717" t="s">
        <v>245</v>
      </c>
    </row>
    <row r="2718" spans="1:17" x14ac:dyDescent="0.25">
      <c r="A2718" t="s">
        <v>692</v>
      </c>
      <c r="B2718" t="s">
        <v>137</v>
      </c>
      <c r="C2718" s="4">
        <f t="shared" ref="C2718:M2718" si="1388">0.63749890839228%*(0.292442375462464/(0.0000919504300903769+0.292442375462464+0.707465674107445))</f>
        <v>1.8643169512496621E-3</v>
      </c>
      <c r="D2718" s="4">
        <f t="shared" si="1388"/>
        <v>1.8643169512496621E-3</v>
      </c>
      <c r="E2718" s="4">
        <f t="shared" si="1388"/>
        <v>1.8643169512496621E-3</v>
      </c>
      <c r="F2718" s="4">
        <f t="shared" si="1388"/>
        <v>1.8643169512496621E-3</v>
      </c>
      <c r="G2718" s="4">
        <f t="shared" si="1388"/>
        <v>1.8643169512496621E-3</v>
      </c>
      <c r="H2718" s="4">
        <f t="shared" si="1388"/>
        <v>1.8643169512496621E-3</v>
      </c>
      <c r="I2718" s="4">
        <f t="shared" si="1388"/>
        <v>1.8643169512496621E-3</v>
      </c>
      <c r="J2718" s="4">
        <f t="shared" si="1388"/>
        <v>1.8643169512496621E-3</v>
      </c>
      <c r="K2718" s="4">
        <f t="shared" si="1388"/>
        <v>1.8643169512496621E-3</v>
      </c>
      <c r="L2718" s="4">
        <f t="shared" si="1388"/>
        <v>1.8643169512496621E-3</v>
      </c>
      <c r="M2718" s="4">
        <f t="shared" si="1388"/>
        <v>1.8643169512496621E-3</v>
      </c>
      <c r="N2718" t="s">
        <v>256</v>
      </c>
      <c r="O2718" t="s">
        <v>693</v>
      </c>
      <c r="P2718" t="s">
        <v>692</v>
      </c>
      <c r="Q2718" t="s">
        <v>245</v>
      </c>
    </row>
    <row r="2719" spans="1:17" x14ac:dyDescent="0.25">
      <c r="A2719" t="s">
        <v>692</v>
      </c>
      <c r="B2719" t="s">
        <v>137</v>
      </c>
      <c r="C2719" s="4">
        <f t="shared" ref="C2719:M2719" si="1389">0.63749890839228%*(0.707465674107445/(0.0000919504300903769+0.292442375462464+0.707465674107445))</f>
        <v>4.510085949685049E-3</v>
      </c>
      <c r="D2719" s="4">
        <f t="shared" si="1389"/>
        <v>4.510085949685049E-3</v>
      </c>
      <c r="E2719" s="4">
        <f t="shared" si="1389"/>
        <v>4.510085949685049E-3</v>
      </c>
      <c r="F2719" s="4">
        <f t="shared" si="1389"/>
        <v>4.510085949685049E-3</v>
      </c>
      <c r="G2719" s="4">
        <f t="shared" si="1389"/>
        <v>4.510085949685049E-3</v>
      </c>
      <c r="H2719" s="4">
        <f t="shared" si="1389"/>
        <v>4.510085949685049E-3</v>
      </c>
      <c r="I2719" s="4">
        <f t="shared" si="1389"/>
        <v>4.510085949685049E-3</v>
      </c>
      <c r="J2719" s="4">
        <f t="shared" si="1389"/>
        <v>4.510085949685049E-3</v>
      </c>
      <c r="K2719" s="4">
        <f t="shared" si="1389"/>
        <v>4.510085949685049E-3</v>
      </c>
      <c r="L2719" s="4">
        <f t="shared" si="1389"/>
        <v>4.510085949685049E-3</v>
      </c>
      <c r="M2719" s="4">
        <f t="shared" si="1389"/>
        <v>4.510085949685049E-3</v>
      </c>
      <c r="N2719" t="s">
        <v>256</v>
      </c>
      <c r="O2719" t="s">
        <v>694</v>
      </c>
      <c r="P2719" t="s">
        <v>692</v>
      </c>
      <c r="Q2719" t="s">
        <v>245</v>
      </c>
    </row>
    <row r="2720" spans="1:17" x14ac:dyDescent="0.25">
      <c r="A2720" t="s">
        <v>689</v>
      </c>
      <c r="B2720" t="s">
        <v>137</v>
      </c>
      <c r="C2720" s="4">
        <v>6.3749890839228003E-3</v>
      </c>
      <c r="D2720" s="4">
        <v>6.3749890839228003E-3</v>
      </c>
      <c r="E2720" s="4">
        <v>6.3749890839228003E-3</v>
      </c>
      <c r="F2720" s="4">
        <v>6.3749890839228003E-3</v>
      </c>
      <c r="G2720" s="4">
        <v>6.3749890839228003E-3</v>
      </c>
      <c r="H2720" s="4">
        <v>6.3749890839228003E-3</v>
      </c>
      <c r="I2720" s="4">
        <v>6.3749890839228003E-3</v>
      </c>
      <c r="J2720" s="4">
        <v>6.3749890839228003E-3</v>
      </c>
      <c r="K2720" s="4">
        <v>6.3749890839228003E-3</v>
      </c>
      <c r="L2720" s="4">
        <v>6.3749890839228003E-3</v>
      </c>
      <c r="M2720" s="4">
        <v>6.3749890839228003E-3</v>
      </c>
      <c r="N2720" t="s">
        <v>256</v>
      </c>
      <c r="O2720" t="s">
        <v>690</v>
      </c>
      <c r="P2720" t="s">
        <v>689</v>
      </c>
      <c r="Q2720" t="s">
        <v>245</v>
      </c>
    </row>
    <row r="2721" spans="1:17" x14ac:dyDescent="0.25">
      <c r="A2721" t="s">
        <v>692</v>
      </c>
      <c r="B2721" t="s">
        <v>121</v>
      </c>
      <c r="C2721" s="4">
        <f t="shared" ref="C2721:M2721" si="1390">1.74511687479987%*(0.0000919504300903769/(0.0000919504300903769+0.292442375462464+0.707465674107445))</f>
        <v>1.6046424719582258E-6</v>
      </c>
      <c r="D2721" s="4">
        <f t="shared" si="1390"/>
        <v>1.6046424719582258E-6</v>
      </c>
      <c r="E2721" s="4">
        <f t="shared" si="1390"/>
        <v>1.6046424719582258E-6</v>
      </c>
      <c r="F2721" s="4">
        <f t="shared" si="1390"/>
        <v>1.6046424719582258E-6</v>
      </c>
      <c r="G2721" s="4">
        <f t="shared" si="1390"/>
        <v>1.6046424719582258E-6</v>
      </c>
      <c r="H2721" s="4">
        <f t="shared" si="1390"/>
        <v>1.6046424719582258E-6</v>
      </c>
      <c r="I2721" s="4">
        <f t="shared" si="1390"/>
        <v>1.6046424719582258E-6</v>
      </c>
      <c r="J2721" s="4">
        <f t="shared" si="1390"/>
        <v>1.6046424719582258E-6</v>
      </c>
      <c r="K2721" s="4">
        <f t="shared" si="1390"/>
        <v>1.6046424719582258E-6</v>
      </c>
      <c r="L2721" s="4">
        <f t="shared" si="1390"/>
        <v>1.6046424719582258E-6</v>
      </c>
      <c r="M2721" s="4">
        <f t="shared" si="1390"/>
        <v>1.6046424719582258E-6</v>
      </c>
      <c r="N2721" t="s">
        <v>242</v>
      </c>
      <c r="O2721" t="s">
        <v>315</v>
      </c>
      <c r="P2721" t="s">
        <v>692</v>
      </c>
      <c r="Q2721" t="s">
        <v>245</v>
      </c>
    </row>
    <row r="2722" spans="1:17" x14ac:dyDescent="0.25">
      <c r="A2722" t="s">
        <v>692</v>
      </c>
      <c r="B2722" t="s">
        <v>121</v>
      </c>
      <c r="C2722" s="4">
        <f t="shared" ref="C2722:M2722" si="1391">1.74511687479987%*(0.292442375462464/(0.0000919504300903769+0.292442375462464+0.707465674107445))</f>
        <v>5.1034612432610572E-3</v>
      </c>
      <c r="D2722" s="4">
        <f t="shared" si="1391"/>
        <v>5.1034612432610572E-3</v>
      </c>
      <c r="E2722" s="4">
        <f t="shared" si="1391"/>
        <v>5.1034612432610572E-3</v>
      </c>
      <c r="F2722" s="4">
        <f t="shared" si="1391"/>
        <v>5.1034612432610572E-3</v>
      </c>
      <c r="G2722" s="4">
        <f t="shared" si="1391"/>
        <v>5.1034612432610572E-3</v>
      </c>
      <c r="H2722" s="4">
        <f t="shared" si="1391"/>
        <v>5.1034612432610572E-3</v>
      </c>
      <c r="I2722" s="4">
        <f t="shared" si="1391"/>
        <v>5.1034612432610572E-3</v>
      </c>
      <c r="J2722" s="4">
        <f t="shared" si="1391"/>
        <v>5.1034612432610572E-3</v>
      </c>
      <c r="K2722" s="4">
        <f t="shared" si="1391"/>
        <v>5.1034612432610572E-3</v>
      </c>
      <c r="L2722" s="4">
        <f t="shared" si="1391"/>
        <v>5.1034612432610572E-3</v>
      </c>
      <c r="M2722" s="4">
        <f t="shared" si="1391"/>
        <v>5.1034612432610572E-3</v>
      </c>
      <c r="N2722" t="s">
        <v>256</v>
      </c>
      <c r="O2722" t="s">
        <v>693</v>
      </c>
      <c r="P2722" t="s">
        <v>692</v>
      </c>
      <c r="Q2722" t="s">
        <v>245</v>
      </c>
    </row>
    <row r="2723" spans="1:17" x14ac:dyDescent="0.25">
      <c r="A2723" t="s">
        <v>692</v>
      </c>
      <c r="B2723" t="s">
        <v>121</v>
      </c>
      <c r="C2723" s="4">
        <f t="shared" ref="C2723:M2723" si="1392">1.74511687479987%*(0.707465674107445/(0.0000919504300903769+0.292442375462464+0.707465674107445))</f>
        <v>1.2346102862265685E-2</v>
      </c>
      <c r="D2723" s="4">
        <f t="shared" si="1392"/>
        <v>1.2346102862265685E-2</v>
      </c>
      <c r="E2723" s="4">
        <f t="shared" si="1392"/>
        <v>1.2346102862265685E-2</v>
      </c>
      <c r="F2723" s="4">
        <f t="shared" si="1392"/>
        <v>1.2346102862265685E-2</v>
      </c>
      <c r="G2723" s="4">
        <f t="shared" si="1392"/>
        <v>1.2346102862265685E-2</v>
      </c>
      <c r="H2723" s="4">
        <f t="shared" si="1392"/>
        <v>1.2346102862265685E-2</v>
      </c>
      <c r="I2723" s="4">
        <f t="shared" si="1392"/>
        <v>1.2346102862265685E-2</v>
      </c>
      <c r="J2723" s="4">
        <f t="shared" si="1392"/>
        <v>1.2346102862265685E-2</v>
      </c>
      <c r="K2723" s="4">
        <f t="shared" si="1392"/>
        <v>1.2346102862265685E-2</v>
      </c>
      <c r="L2723" s="4">
        <f t="shared" si="1392"/>
        <v>1.2346102862265685E-2</v>
      </c>
      <c r="M2723" s="4">
        <f t="shared" si="1392"/>
        <v>1.2346102862265685E-2</v>
      </c>
      <c r="N2723" t="s">
        <v>256</v>
      </c>
      <c r="O2723" t="s">
        <v>694</v>
      </c>
      <c r="P2723" t="s">
        <v>692</v>
      </c>
      <c r="Q2723" t="s">
        <v>245</v>
      </c>
    </row>
    <row r="2724" spans="1:17" x14ac:dyDescent="0.25">
      <c r="A2724" t="s">
        <v>689</v>
      </c>
      <c r="B2724" t="s">
        <v>121</v>
      </c>
      <c r="C2724" s="4">
        <v>1.7451168747998701E-2</v>
      </c>
      <c r="D2724" s="4">
        <v>1.7451168747998701E-2</v>
      </c>
      <c r="E2724" s="4">
        <v>1.7451168747998701E-2</v>
      </c>
      <c r="F2724" s="4">
        <v>1.7451168747998701E-2</v>
      </c>
      <c r="G2724" s="4">
        <v>1.7451168747998701E-2</v>
      </c>
      <c r="H2724" s="4">
        <v>1.7451168747998701E-2</v>
      </c>
      <c r="I2724" s="4">
        <v>1.7451168747998701E-2</v>
      </c>
      <c r="J2724" s="4">
        <v>1.7451168747998701E-2</v>
      </c>
      <c r="K2724" s="4">
        <v>1.7451168747998701E-2</v>
      </c>
      <c r="L2724" s="4">
        <v>1.7451168747998701E-2</v>
      </c>
      <c r="M2724" s="4">
        <v>1.7451168747998701E-2</v>
      </c>
      <c r="N2724" t="s">
        <v>256</v>
      </c>
      <c r="O2724" t="s">
        <v>690</v>
      </c>
      <c r="P2724" t="s">
        <v>689</v>
      </c>
      <c r="Q2724" t="s">
        <v>245</v>
      </c>
    </row>
    <row r="2725" spans="1:17" x14ac:dyDescent="0.25">
      <c r="A2725" t="s">
        <v>692</v>
      </c>
      <c r="B2725" t="s">
        <v>112</v>
      </c>
      <c r="C2725" s="4">
        <f t="shared" ref="C2725:M2725" si="1393">3.23115885075539%*(0.0000919504300903769/(0.0000919504300903769+0.292442375462464+0.707465674107445))</f>
        <v>2.9710644601728625E-6</v>
      </c>
      <c r="D2725" s="4">
        <f t="shared" si="1393"/>
        <v>2.9710644601728625E-6</v>
      </c>
      <c r="E2725" s="4">
        <f t="shared" si="1393"/>
        <v>2.9710644601728625E-6</v>
      </c>
      <c r="F2725" s="4">
        <f t="shared" si="1393"/>
        <v>2.9710644601728625E-6</v>
      </c>
      <c r="G2725" s="4">
        <f t="shared" si="1393"/>
        <v>2.9710644601728625E-6</v>
      </c>
      <c r="H2725" s="4">
        <f t="shared" si="1393"/>
        <v>2.9710644601728625E-6</v>
      </c>
      <c r="I2725" s="4">
        <f t="shared" si="1393"/>
        <v>2.9710644601728625E-6</v>
      </c>
      <c r="J2725" s="4">
        <f t="shared" si="1393"/>
        <v>2.9710644601728625E-6</v>
      </c>
      <c r="K2725" s="4">
        <f t="shared" si="1393"/>
        <v>2.9710644601728625E-6</v>
      </c>
      <c r="L2725" s="4">
        <f t="shared" si="1393"/>
        <v>2.9710644601728625E-6</v>
      </c>
      <c r="M2725" s="4">
        <f t="shared" si="1393"/>
        <v>2.9710644601728625E-6</v>
      </c>
      <c r="N2725" t="s">
        <v>242</v>
      </c>
      <c r="O2725" t="s">
        <v>315</v>
      </c>
      <c r="P2725" t="s">
        <v>692</v>
      </c>
      <c r="Q2725" t="s">
        <v>245</v>
      </c>
    </row>
    <row r="2726" spans="1:17" x14ac:dyDescent="0.25">
      <c r="A2726" t="s">
        <v>692</v>
      </c>
      <c r="B2726" t="s">
        <v>112</v>
      </c>
      <c r="C2726" s="4">
        <f t="shared" ref="C2726:M2726" si="1394">3.23115885075539%*(0.292442375462464/(0.0000919504300903769+0.292442375462464+0.707465674107445))</f>
        <v>9.4492776981147195E-3</v>
      </c>
      <c r="D2726" s="4">
        <f t="shared" si="1394"/>
        <v>9.4492776981147195E-3</v>
      </c>
      <c r="E2726" s="4">
        <f t="shared" si="1394"/>
        <v>9.4492776981147195E-3</v>
      </c>
      <c r="F2726" s="4">
        <f t="shared" si="1394"/>
        <v>9.4492776981147195E-3</v>
      </c>
      <c r="G2726" s="4">
        <f t="shared" si="1394"/>
        <v>9.4492776981147195E-3</v>
      </c>
      <c r="H2726" s="4">
        <f t="shared" si="1394"/>
        <v>9.4492776981147195E-3</v>
      </c>
      <c r="I2726" s="4">
        <f t="shared" si="1394"/>
        <v>9.4492776981147195E-3</v>
      </c>
      <c r="J2726" s="4">
        <f t="shared" si="1394"/>
        <v>9.4492776981147195E-3</v>
      </c>
      <c r="K2726" s="4">
        <f t="shared" si="1394"/>
        <v>9.4492776981147195E-3</v>
      </c>
      <c r="L2726" s="4">
        <f t="shared" si="1394"/>
        <v>9.4492776981147195E-3</v>
      </c>
      <c r="M2726" s="4">
        <f t="shared" si="1394"/>
        <v>9.4492776981147195E-3</v>
      </c>
      <c r="N2726" t="s">
        <v>256</v>
      </c>
      <c r="O2726" t="s">
        <v>693</v>
      </c>
      <c r="P2726" t="s">
        <v>692</v>
      </c>
      <c r="Q2726" t="s">
        <v>245</v>
      </c>
    </row>
    <row r="2727" spans="1:17" x14ac:dyDescent="0.25">
      <c r="A2727" t="s">
        <v>692</v>
      </c>
      <c r="B2727" t="s">
        <v>112</v>
      </c>
      <c r="C2727" s="4">
        <f t="shared" ref="C2727:M2727" si="1395">3.23115885075539%*(0.707465674107445/(0.0000919504300903769+0.292442375462464+0.707465674107445))</f>
        <v>2.2859339744979005E-2</v>
      </c>
      <c r="D2727" s="4">
        <f t="shared" si="1395"/>
        <v>2.2859339744979005E-2</v>
      </c>
      <c r="E2727" s="4">
        <f t="shared" si="1395"/>
        <v>2.2859339744979005E-2</v>
      </c>
      <c r="F2727" s="4">
        <f t="shared" si="1395"/>
        <v>2.2859339744979005E-2</v>
      </c>
      <c r="G2727" s="4">
        <f t="shared" si="1395"/>
        <v>2.2859339744979005E-2</v>
      </c>
      <c r="H2727" s="4">
        <f t="shared" si="1395"/>
        <v>2.2859339744979005E-2</v>
      </c>
      <c r="I2727" s="4">
        <f t="shared" si="1395"/>
        <v>2.2859339744979005E-2</v>
      </c>
      <c r="J2727" s="4">
        <f t="shared" si="1395"/>
        <v>2.2859339744979005E-2</v>
      </c>
      <c r="K2727" s="4">
        <f t="shared" si="1395"/>
        <v>2.2859339744979005E-2</v>
      </c>
      <c r="L2727" s="4">
        <f t="shared" si="1395"/>
        <v>2.2859339744979005E-2</v>
      </c>
      <c r="M2727" s="4">
        <f t="shared" si="1395"/>
        <v>2.2859339744979005E-2</v>
      </c>
      <c r="N2727" t="s">
        <v>256</v>
      </c>
      <c r="O2727" t="s">
        <v>694</v>
      </c>
      <c r="P2727" t="s">
        <v>692</v>
      </c>
      <c r="Q2727" t="s">
        <v>245</v>
      </c>
    </row>
    <row r="2728" spans="1:17" x14ac:dyDescent="0.25">
      <c r="A2728" t="s">
        <v>689</v>
      </c>
      <c r="B2728" t="s">
        <v>112</v>
      </c>
      <c r="C2728" s="4">
        <v>3.2311588507553897E-2</v>
      </c>
      <c r="D2728" s="4">
        <v>3.2311588507553897E-2</v>
      </c>
      <c r="E2728" s="4">
        <v>3.2311588507553897E-2</v>
      </c>
      <c r="F2728" s="4">
        <v>3.2311588507553897E-2</v>
      </c>
      <c r="G2728" s="4">
        <v>3.2311588507553897E-2</v>
      </c>
      <c r="H2728" s="4">
        <v>3.2311588507553897E-2</v>
      </c>
      <c r="I2728" s="4">
        <v>3.2311588507553897E-2</v>
      </c>
      <c r="J2728" s="4">
        <v>3.2311588507553897E-2</v>
      </c>
      <c r="K2728" s="4">
        <v>3.2311588507553897E-2</v>
      </c>
      <c r="L2728" s="4">
        <v>3.2311588507553897E-2</v>
      </c>
      <c r="M2728" s="4">
        <v>3.2311588507553897E-2</v>
      </c>
      <c r="N2728" t="s">
        <v>256</v>
      </c>
      <c r="O2728" t="s">
        <v>690</v>
      </c>
      <c r="P2728" t="s">
        <v>689</v>
      </c>
      <c r="Q2728" t="s">
        <v>245</v>
      </c>
    </row>
    <row r="2729" spans="1:17" x14ac:dyDescent="0.25">
      <c r="A2729" t="s">
        <v>692</v>
      </c>
      <c r="B2729" t="s">
        <v>140</v>
      </c>
      <c r="C2729" s="4">
        <f t="shared" ref="C2729:M2729" si="1396">1.54280557738771%*(0.0000919504300903769/(0.0000919504300903769+0.292442375462464+0.707465674107445))</f>
        <v>1.4186163638663231E-6</v>
      </c>
      <c r="D2729" s="4">
        <f t="shared" si="1396"/>
        <v>1.4186163638663231E-6</v>
      </c>
      <c r="E2729" s="4">
        <f t="shared" si="1396"/>
        <v>1.4186163638663231E-6</v>
      </c>
      <c r="F2729" s="4">
        <f t="shared" si="1396"/>
        <v>1.4186163638663231E-6</v>
      </c>
      <c r="G2729" s="4">
        <f t="shared" si="1396"/>
        <v>1.4186163638663231E-6</v>
      </c>
      <c r="H2729" s="4">
        <f t="shared" si="1396"/>
        <v>1.4186163638663231E-6</v>
      </c>
      <c r="I2729" s="4">
        <f t="shared" si="1396"/>
        <v>1.4186163638663231E-6</v>
      </c>
      <c r="J2729" s="4">
        <f t="shared" si="1396"/>
        <v>1.4186163638663231E-6</v>
      </c>
      <c r="K2729" s="4">
        <f t="shared" si="1396"/>
        <v>1.4186163638663231E-6</v>
      </c>
      <c r="L2729" s="4">
        <f t="shared" si="1396"/>
        <v>1.4186163638663231E-6</v>
      </c>
      <c r="M2729" s="4">
        <f t="shared" si="1396"/>
        <v>1.4186163638663231E-6</v>
      </c>
      <c r="N2729" t="s">
        <v>242</v>
      </c>
      <c r="O2729" t="s">
        <v>315</v>
      </c>
      <c r="P2729" t="s">
        <v>692</v>
      </c>
      <c r="Q2729" t="s">
        <v>245</v>
      </c>
    </row>
    <row r="2730" spans="1:17" x14ac:dyDescent="0.25">
      <c r="A2730" t="s">
        <v>692</v>
      </c>
      <c r="B2730" t="s">
        <v>140</v>
      </c>
      <c r="C2730" s="4">
        <f t="shared" ref="C2730:M2730" si="1397">1.54280557738771%*(0.292442375462464/(0.0000919504300903769+0.292442375462464+0.707465674107445))</f>
        <v>4.5118172792800058E-3</v>
      </c>
      <c r="D2730" s="4">
        <f t="shared" si="1397"/>
        <v>4.5118172792800058E-3</v>
      </c>
      <c r="E2730" s="4">
        <f t="shared" si="1397"/>
        <v>4.5118172792800058E-3</v>
      </c>
      <c r="F2730" s="4">
        <f t="shared" si="1397"/>
        <v>4.5118172792800058E-3</v>
      </c>
      <c r="G2730" s="4">
        <f t="shared" si="1397"/>
        <v>4.5118172792800058E-3</v>
      </c>
      <c r="H2730" s="4">
        <f t="shared" si="1397"/>
        <v>4.5118172792800058E-3</v>
      </c>
      <c r="I2730" s="4">
        <f t="shared" si="1397"/>
        <v>4.5118172792800058E-3</v>
      </c>
      <c r="J2730" s="4">
        <f t="shared" si="1397"/>
        <v>4.5118172792800058E-3</v>
      </c>
      <c r="K2730" s="4">
        <f t="shared" si="1397"/>
        <v>4.5118172792800058E-3</v>
      </c>
      <c r="L2730" s="4">
        <f t="shared" si="1397"/>
        <v>4.5118172792800058E-3</v>
      </c>
      <c r="M2730" s="4">
        <f t="shared" si="1397"/>
        <v>4.5118172792800058E-3</v>
      </c>
      <c r="N2730" t="s">
        <v>256</v>
      </c>
      <c r="O2730" t="s">
        <v>693</v>
      </c>
      <c r="P2730" t="s">
        <v>692</v>
      </c>
      <c r="Q2730" t="s">
        <v>245</v>
      </c>
    </row>
    <row r="2731" spans="1:17" x14ac:dyDescent="0.25">
      <c r="A2731" t="s">
        <v>692</v>
      </c>
      <c r="B2731" t="s">
        <v>140</v>
      </c>
      <c r="C2731" s="4">
        <f t="shared" ref="C2731:M2731" si="1398">1.54280557738771%*(0.707465674107445/(0.0000919504300903769+0.292442375462464+0.707465674107445))</f>
        <v>1.0914819878233228E-2</v>
      </c>
      <c r="D2731" s="4">
        <f t="shared" si="1398"/>
        <v>1.0914819878233228E-2</v>
      </c>
      <c r="E2731" s="4">
        <f t="shared" si="1398"/>
        <v>1.0914819878233228E-2</v>
      </c>
      <c r="F2731" s="4">
        <f t="shared" si="1398"/>
        <v>1.0914819878233228E-2</v>
      </c>
      <c r="G2731" s="4">
        <f t="shared" si="1398"/>
        <v>1.0914819878233228E-2</v>
      </c>
      <c r="H2731" s="4">
        <f t="shared" si="1398"/>
        <v>1.0914819878233228E-2</v>
      </c>
      <c r="I2731" s="4">
        <f t="shared" si="1398"/>
        <v>1.0914819878233228E-2</v>
      </c>
      <c r="J2731" s="4">
        <f t="shared" si="1398"/>
        <v>1.0914819878233228E-2</v>
      </c>
      <c r="K2731" s="4">
        <f t="shared" si="1398"/>
        <v>1.0914819878233228E-2</v>
      </c>
      <c r="L2731" s="4">
        <f t="shared" si="1398"/>
        <v>1.0914819878233228E-2</v>
      </c>
      <c r="M2731" s="4">
        <f t="shared" si="1398"/>
        <v>1.0914819878233228E-2</v>
      </c>
      <c r="N2731" t="s">
        <v>256</v>
      </c>
      <c r="O2731" t="s">
        <v>694</v>
      </c>
      <c r="P2731" t="s">
        <v>692</v>
      </c>
      <c r="Q2731" t="s">
        <v>245</v>
      </c>
    </row>
    <row r="2732" spans="1:17" x14ac:dyDescent="0.25">
      <c r="A2732" t="s">
        <v>689</v>
      </c>
      <c r="B2732" t="s">
        <v>140</v>
      </c>
      <c r="C2732" s="4">
        <v>1.5428055773877101E-2</v>
      </c>
      <c r="D2732" s="4">
        <v>1.5428055773877101E-2</v>
      </c>
      <c r="E2732" s="4">
        <v>1.5428055773877101E-2</v>
      </c>
      <c r="F2732" s="4">
        <v>1.5428055773877101E-2</v>
      </c>
      <c r="G2732" s="4">
        <v>1.5428055773877101E-2</v>
      </c>
      <c r="H2732" s="4">
        <v>1.5428055773877101E-2</v>
      </c>
      <c r="I2732" s="4">
        <v>1.5428055773877101E-2</v>
      </c>
      <c r="J2732" s="4">
        <v>1.5428055773877101E-2</v>
      </c>
      <c r="K2732" s="4">
        <v>1.5428055773877101E-2</v>
      </c>
      <c r="L2732" s="4">
        <v>1.5428055773877101E-2</v>
      </c>
      <c r="M2732" s="4">
        <v>1.5428055773877101E-2</v>
      </c>
      <c r="N2732" t="s">
        <v>256</v>
      </c>
      <c r="O2732" t="s">
        <v>690</v>
      </c>
      <c r="P2732" t="s">
        <v>689</v>
      </c>
      <c r="Q2732" t="s">
        <v>245</v>
      </c>
    </row>
    <row r="2733" spans="1:17" x14ac:dyDescent="0.25">
      <c r="A2733" t="s">
        <v>695</v>
      </c>
      <c r="B2733" t="s">
        <v>113</v>
      </c>
      <c r="C2733" s="4">
        <v>3.5397727272727275E-2</v>
      </c>
      <c r="D2733" s="4">
        <v>3.5397727272727275E-2</v>
      </c>
      <c r="E2733" s="4">
        <v>3.5397727272727275E-2</v>
      </c>
      <c r="F2733" s="4">
        <v>3.5397727272727275E-2</v>
      </c>
      <c r="G2733" s="4">
        <v>3.5397727272727275E-2</v>
      </c>
      <c r="H2733" s="4">
        <v>3.5397727272727275E-2</v>
      </c>
      <c r="I2733" s="4">
        <v>3.5397727272727275E-2</v>
      </c>
      <c r="J2733" s="4">
        <v>3.5397727272727275E-2</v>
      </c>
      <c r="K2733" s="4">
        <v>3.5397727272727275E-2</v>
      </c>
      <c r="L2733" s="4">
        <v>3.5397727272727275E-2</v>
      </c>
      <c r="M2733" s="4">
        <v>3.5397727272727275E-2</v>
      </c>
      <c r="N2733" t="s">
        <v>276</v>
      </c>
      <c r="O2733" t="s">
        <v>696</v>
      </c>
      <c r="P2733" t="s">
        <v>695</v>
      </c>
      <c r="Q2733" t="s">
        <v>245</v>
      </c>
    </row>
    <row r="2734" spans="1:17" x14ac:dyDescent="0.25">
      <c r="A2734" t="s">
        <v>695</v>
      </c>
      <c r="B2734" t="s">
        <v>83</v>
      </c>
      <c r="C2734" s="4">
        <v>5.681818181818182E-3</v>
      </c>
      <c r="D2734" s="4">
        <v>5.681818181818182E-3</v>
      </c>
      <c r="E2734" s="4">
        <v>5.681818181818182E-3</v>
      </c>
      <c r="F2734" s="4">
        <v>5.681818181818182E-3</v>
      </c>
      <c r="G2734" s="4">
        <v>5.681818181818182E-3</v>
      </c>
      <c r="H2734" s="4">
        <v>5.681818181818182E-3</v>
      </c>
      <c r="I2734" s="4">
        <v>5.681818181818182E-3</v>
      </c>
      <c r="J2734" s="4">
        <v>5.681818181818182E-3</v>
      </c>
      <c r="K2734" s="4">
        <v>5.681818181818182E-3</v>
      </c>
      <c r="L2734" s="4">
        <v>5.681818181818182E-3</v>
      </c>
      <c r="M2734" s="4">
        <v>5.681818181818182E-3</v>
      </c>
      <c r="N2734" t="s">
        <v>698</v>
      </c>
      <c r="O2734" t="s">
        <v>696</v>
      </c>
      <c r="P2734" t="s">
        <v>695</v>
      </c>
      <c r="Q2734" t="s">
        <v>245</v>
      </c>
    </row>
    <row r="2735" spans="1:17" x14ac:dyDescent="0.25">
      <c r="A2735" t="s">
        <v>695</v>
      </c>
      <c r="B2735" t="s">
        <v>212</v>
      </c>
      <c r="C2735" s="4">
        <v>9.6590909090909088E-3</v>
      </c>
      <c r="D2735" s="4">
        <v>9.6590909090909088E-3</v>
      </c>
      <c r="E2735" s="4">
        <v>9.6590909090909088E-3</v>
      </c>
      <c r="F2735" s="4">
        <v>9.6590909090909088E-3</v>
      </c>
      <c r="G2735" s="4">
        <v>9.6590909090909088E-3</v>
      </c>
      <c r="H2735" s="4">
        <v>9.6590909090909088E-3</v>
      </c>
      <c r="I2735" s="4">
        <v>9.6590909090909088E-3</v>
      </c>
      <c r="J2735" s="4">
        <v>9.6590909090909088E-3</v>
      </c>
      <c r="K2735" s="4">
        <v>9.6590909090909088E-3</v>
      </c>
      <c r="L2735" s="4">
        <v>9.6590909090909088E-3</v>
      </c>
      <c r="M2735" s="4">
        <v>9.6590909090909088E-3</v>
      </c>
      <c r="N2735" t="s">
        <v>698</v>
      </c>
      <c r="O2735" t="s">
        <v>696</v>
      </c>
      <c r="P2735" t="s">
        <v>695</v>
      </c>
      <c r="Q2735" t="s">
        <v>245</v>
      </c>
    </row>
    <row r="2736" spans="1:17" x14ac:dyDescent="0.25">
      <c r="A2736" t="s">
        <v>695</v>
      </c>
      <c r="B2736" t="s">
        <v>85</v>
      </c>
      <c r="C2736" s="4">
        <v>4.4829545454545455E-2</v>
      </c>
      <c r="D2736" s="4">
        <v>4.4829545454545455E-2</v>
      </c>
      <c r="E2736" s="4">
        <v>4.4829545454545455E-2</v>
      </c>
      <c r="F2736" s="4">
        <v>4.4829545454545455E-2</v>
      </c>
      <c r="G2736" s="4">
        <v>4.4829545454545455E-2</v>
      </c>
      <c r="H2736" s="4">
        <v>4.4829545454545455E-2</v>
      </c>
      <c r="I2736" s="4">
        <v>4.4829545454545455E-2</v>
      </c>
      <c r="J2736" s="4">
        <v>4.4829545454545455E-2</v>
      </c>
      <c r="K2736" s="4">
        <v>4.4829545454545455E-2</v>
      </c>
      <c r="L2736" s="4">
        <v>4.4829545454545455E-2</v>
      </c>
      <c r="M2736" s="4">
        <v>4.4829545454545455E-2</v>
      </c>
      <c r="N2736" t="s">
        <v>256</v>
      </c>
      <c r="O2736" t="s">
        <v>696</v>
      </c>
      <c r="P2736" t="s">
        <v>695</v>
      </c>
      <c r="Q2736" t="s">
        <v>245</v>
      </c>
    </row>
    <row r="2737" spans="1:18" x14ac:dyDescent="0.25">
      <c r="A2737" t="s">
        <v>695</v>
      </c>
      <c r="B2737" t="s">
        <v>116</v>
      </c>
      <c r="C2737" s="4">
        <v>5.5681818181818185E-3</v>
      </c>
      <c r="D2737" s="4">
        <v>5.5681818181818185E-3</v>
      </c>
      <c r="E2737" s="4">
        <v>5.5681818181818185E-3</v>
      </c>
      <c r="F2737" s="4">
        <v>5.5681818181818185E-3</v>
      </c>
      <c r="G2737" s="4">
        <v>5.5681818181818185E-3</v>
      </c>
      <c r="H2737" s="4">
        <v>5.5681818181818185E-3</v>
      </c>
      <c r="I2737" s="4">
        <v>5.5681818181818185E-3</v>
      </c>
      <c r="J2737" s="4">
        <v>5.5681818181818185E-3</v>
      </c>
      <c r="K2737" s="4">
        <v>5.5681818181818185E-3</v>
      </c>
      <c r="L2737" s="4">
        <v>5.5681818181818185E-3</v>
      </c>
      <c r="M2737" s="4">
        <v>5.5681818181818185E-3</v>
      </c>
      <c r="N2737" t="s">
        <v>256</v>
      </c>
      <c r="O2737" t="s">
        <v>696</v>
      </c>
      <c r="P2737" t="s">
        <v>695</v>
      </c>
      <c r="Q2737" t="s">
        <v>245</v>
      </c>
    </row>
    <row r="2738" spans="1:18" x14ac:dyDescent="0.25">
      <c r="A2738" t="s">
        <v>695</v>
      </c>
      <c r="B2738" t="s">
        <v>86</v>
      </c>
      <c r="C2738" s="4">
        <v>0.70454545454545459</v>
      </c>
      <c r="D2738" s="4">
        <v>0.70454545454545459</v>
      </c>
      <c r="E2738" s="4">
        <v>0.70454545454545459</v>
      </c>
      <c r="F2738" s="4">
        <v>0.70454545454545459</v>
      </c>
      <c r="G2738" s="4">
        <v>0.70454545454545459</v>
      </c>
      <c r="H2738" s="4">
        <v>0.70454545454545459</v>
      </c>
      <c r="I2738" s="4">
        <v>0.70454545454545459</v>
      </c>
      <c r="J2738" s="4">
        <v>0.70454545454545459</v>
      </c>
      <c r="K2738" s="4">
        <v>0.70454545454545459</v>
      </c>
      <c r="L2738" s="4">
        <v>0.70454545454545459</v>
      </c>
      <c r="M2738" s="4">
        <v>0.70454545454545459</v>
      </c>
      <c r="N2738" t="s">
        <v>254</v>
      </c>
      <c r="O2738" t="s">
        <v>696</v>
      </c>
      <c r="P2738" t="s">
        <v>695</v>
      </c>
      <c r="Q2738" t="s">
        <v>245</v>
      </c>
    </row>
    <row r="2739" spans="1:18" x14ac:dyDescent="0.25">
      <c r="A2739" t="s">
        <v>695</v>
      </c>
      <c r="B2739" t="s">
        <v>91</v>
      </c>
      <c r="C2739" s="4">
        <v>1.4034090909090909E-2</v>
      </c>
      <c r="D2739" s="4">
        <v>1.4034090909090909E-2</v>
      </c>
      <c r="E2739" s="4">
        <v>1.4034090909090909E-2</v>
      </c>
      <c r="F2739" s="4">
        <v>1.4034090909090909E-2</v>
      </c>
      <c r="G2739" s="4">
        <v>1.4034090909090909E-2</v>
      </c>
      <c r="H2739" s="4">
        <v>1.4034090909090909E-2</v>
      </c>
      <c r="I2739" s="4">
        <v>1.4034090909090909E-2</v>
      </c>
      <c r="J2739" s="4">
        <v>1.4034090909090909E-2</v>
      </c>
      <c r="K2739" s="4">
        <v>1.4034090909090909E-2</v>
      </c>
      <c r="L2739" s="4">
        <v>1.4034090909090909E-2</v>
      </c>
      <c r="M2739" s="4">
        <v>1.4034090909090909E-2</v>
      </c>
      <c r="N2739" t="s">
        <v>256</v>
      </c>
      <c r="O2739" t="s">
        <v>696</v>
      </c>
      <c r="P2739" t="s">
        <v>695</v>
      </c>
      <c r="Q2739" t="s">
        <v>245</v>
      </c>
    </row>
    <row r="2740" spans="1:18" x14ac:dyDescent="0.25">
      <c r="A2740" t="s">
        <v>695</v>
      </c>
      <c r="B2740" t="s">
        <v>117</v>
      </c>
      <c r="C2740" s="4">
        <v>7.1590909090909092E-3</v>
      </c>
      <c r="D2740" s="4">
        <v>7.1590909090909092E-3</v>
      </c>
      <c r="E2740" s="4">
        <v>7.1590909090909092E-3</v>
      </c>
      <c r="F2740" s="4">
        <v>7.1590909090909092E-3</v>
      </c>
      <c r="G2740" s="4">
        <v>7.1590909090909092E-3</v>
      </c>
      <c r="H2740" s="4">
        <v>7.1590909090909092E-3</v>
      </c>
      <c r="I2740" s="4">
        <v>7.1590909090909092E-3</v>
      </c>
      <c r="J2740" s="4">
        <v>7.1590909090909092E-3</v>
      </c>
      <c r="K2740" s="4">
        <v>7.1590909090909092E-3</v>
      </c>
      <c r="L2740" s="4">
        <v>7.1590909090909092E-3</v>
      </c>
      <c r="M2740" s="4">
        <v>7.1590909090909092E-3</v>
      </c>
      <c r="N2740" t="s">
        <v>256</v>
      </c>
      <c r="O2740" t="s">
        <v>696</v>
      </c>
      <c r="P2740" t="s">
        <v>695</v>
      </c>
      <c r="Q2740" t="s">
        <v>245</v>
      </c>
    </row>
    <row r="2741" spans="1:18" x14ac:dyDescent="0.25">
      <c r="A2741" t="s">
        <v>695</v>
      </c>
      <c r="B2741" t="s">
        <v>129</v>
      </c>
      <c r="C2741" s="4">
        <v>1.2556818181818181E-2</v>
      </c>
      <c r="D2741" s="4">
        <v>1.2556818181818181E-2</v>
      </c>
      <c r="E2741" s="4">
        <v>1.2556818181818181E-2</v>
      </c>
      <c r="F2741" s="4">
        <v>1.2556818181818181E-2</v>
      </c>
      <c r="G2741" s="4">
        <v>1.2556818181818181E-2</v>
      </c>
      <c r="H2741" s="4">
        <v>1.2556818181818181E-2</v>
      </c>
      <c r="I2741" s="4">
        <v>1.2556818181818181E-2</v>
      </c>
      <c r="J2741" s="4">
        <v>1.2556818181818181E-2</v>
      </c>
      <c r="K2741" s="4">
        <v>1.2556818181818181E-2</v>
      </c>
      <c r="L2741" s="4">
        <v>1.2556818181818181E-2</v>
      </c>
      <c r="M2741" s="4">
        <v>1.2556818181818181E-2</v>
      </c>
      <c r="N2741" t="s">
        <v>256</v>
      </c>
      <c r="O2741" t="s">
        <v>696</v>
      </c>
      <c r="P2741" t="s">
        <v>695</v>
      </c>
      <c r="Q2741" t="s">
        <v>245</v>
      </c>
    </row>
    <row r="2742" spans="1:18" x14ac:dyDescent="0.25">
      <c r="A2742" t="s">
        <v>695</v>
      </c>
      <c r="B2742" t="s">
        <v>97</v>
      </c>
      <c r="C2742" s="4">
        <v>6.7045454545454543E-3</v>
      </c>
      <c r="D2742" s="4">
        <v>6.7045454545454543E-3</v>
      </c>
      <c r="E2742" s="4">
        <v>6.7045454545454543E-3</v>
      </c>
      <c r="F2742" s="4">
        <v>6.7045454545454543E-3</v>
      </c>
      <c r="G2742" s="4">
        <v>6.7045454545454543E-3</v>
      </c>
      <c r="H2742" s="4">
        <v>6.7045454545454543E-3</v>
      </c>
      <c r="I2742" s="4">
        <v>6.7045454545454543E-3</v>
      </c>
      <c r="J2742" s="4">
        <v>6.7045454545454543E-3</v>
      </c>
      <c r="K2742" s="4">
        <v>6.7045454545454543E-3</v>
      </c>
      <c r="L2742" s="4">
        <v>6.7045454545454543E-3</v>
      </c>
      <c r="M2742" s="4">
        <v>6.7045454545454543E-3</v>
      </c>
      <c r="N2742" t="s">
        <v>698</v>
      </c>
      <c r="O2742" t="s">
        <v>696</v>
      </c>
      <c r="P2742" t="s">
        <v>695</v>
      </c>
      <c r="Q2742" t="s">
        <v>245</v>
      </c>
    </row>
    <row r="2743" spans="1:18" x14ac:dyDescent="0.25">
      <c r="A2743" t="s">
        <v>695</v>
      </c>
      <c r="B2743" t="s">
        <v>102</v>
      </c>
      <c r="C2743" s="4">
        <v>1.375E-2</v>
      </c>
      <c r="D2743" s="4">
        <v>1.375E-2</v>
      </c>
      <c r="E2743" s="4">
        <v>1.375E-2</v>
      </c>
      <c r="F2743" s="4">
        <v>1.375E-2</v>
      </c>
      <c r="G2743" s="4">
        <v>1.375E-2</v>
      </c>
      <c r="H2743" s="4">
        <v>1.375E-2</v>
      </c>
      <c r="I2743" s="4">
        <v>1.375E-2</v>
      </c>
      <c r="J2743" s="4">
        <v>1.375E-2</v>
      </c>
      <c r="K2743" s="4">
        <v>1.375E-2</v>
      </c>
      <c r="L2743" s="4">
        <v>1.375E-2</v>
      </c>
      <c r="M2743" s="4">
        <v>1.375E-2</v>
      </c>
      <c r="N2743" t="s">
        <v>698</v>
      </c>
      <c r="O2743" t="s">
        <v>696</v>
      </c>
      <c r="P2743" t="s">
        <v>695</v>
      </c>
      <c r="Q2743" t="s">
        <v>245</v>
      </c>
    </row>
    <row r="2744" spans="1:18" x14ac:dyDescent="0.25">
      <c r="A2744" t="s">
        <v>695</v>
      </c>
      <c r="B2744" t="s">
        <v>103</v>
      </c>
      <c r="C2744" s="4">
        <v>1.0056818181818182E-2</v>
      </c>
      <c r="D2744" s="4">
        <v>1.0056818181818182E-2</v>
      </c>
      <c r="E2744" s="4">
        <v>1.0056818181818182E-2</v>
      </c>
      <c r="F2744" s="4">
        <v>1.0056818181818182E-2</v>
      </c>
      <c r="G2744" s="4">
        <v>1.0056818181818182E-2</v>
      </c>
      <c r="H2744" s="4">
        <v>1.0056818181818182E-2</v>
      </c>
      <c r="I2744" s="4">
        <v>1.0056818181818182E-2</v>
      </c>
      <c r="J2744" s="4">
        <v>1.0056818181818182E-2</v>
      </c>
      <c r="K2744" s="4">
        <v>1.0056818181818182E-2</v>
      </c>
      <c r="L2744" s="4">
        <v>1.0056818181818182E-2</v>
      </c>
      <c r="M2744" s="4">
        <v>1.0056818181818182E-2</v>
      </c>
      <c r="N2744" t="s">
        <v>698</v>
      </c>
      <c r="O2744" t="s">
        <v>696</v>
      </c>
      <c r="P2744" t="s">
        <v>695</v>
      </c>
      <c r="Q2744" t="s">
        <v>245</v>
      </c>
    </row>
    <row r="2745" spans="1:18" x14ac:dyDescent="0.25">
      <c r="A2745" t="s">
        <v>695</v>
      </c>
      <c r="B2745" t="s">
        <v>132</v>
      </c>
      <c r="C2745" s="4">
        <v>4.1022727272727273E-2</v>
      </c>
      <c r="D2745" s="4">
        <v>4.1022727272727273E-2</v>
      </c>
      <c r="E2745" s="4">
        <v>4.1022727272727273E-2</v>
      </c>
      <c r="F2745" s="4">
        <v>4.1022727272727273E-2</v>
      </c>
      <c r="G2745" s="4">
        <v>4.1022727272727273E-2</v>
      </c>
      <c r="H2745" s="4">
        <v>4.1022727272727273E-2</v>
      </c>
      <c r="I2745" s="4">
        <v>4.1022727272727273E-2</v>
      </c>
      <c r="J2745" s="4">
        <v>4.1022727272727273E-2</v>
      </c>
      <c r="K2745" s="4">
        <v>4.1022727272727273E-2</v>
      </c>
      <c r="L2745" s="4">
        <v>4.1022727272727273E-2</v>
      </c>
      <c r="M2745" s="4">
        <v>4.1022727272727273E-2</v>
      </c>
      <c r="N2745" t="s">
        <v>697</v>
      </c>
      <c r="O2745" t="s">
        <v>696</v>
      </c>
      <c r="P2745" t="s">
        <v>695</v>
      </c>
      <c r="Q2745" t="s">
        <v>245</v>
      </c>
    </row>
    <row r="2746" spans="1:18" x14ac:dyDescent="0.25">
      <c r="A2746" t="s">
        <v>695</v>
      </c>
      <c r="B2746" t="s">
        <v>151</v>
      </c>
      <c r="C2746" s="4">
        <v>5.5681818181818185E-3</v>
      </c>
      <c r="D2746" s="4">
        <v>5.5681818181818185E-3</v>
      </c>
      <c r="E2746" s="4">
        <v>5.5681818181818185E-3</v>
      </c>
      <c r="F2746" s="4">
        <v>5.5681818181818185E-3</v>
      </c>
      <c r="G2746" s="4">
        <v>5.5681818181818185E-3</v>
      </c>
      <c r="H2746" s="4">
        <v>5.5681818181818185E-3</v>
      </c>
      <c r="I2746" s="4">
        <v>5.5681818181818185E-3</v>
      </c>
      <c r="J2746" s="4">
        <v>5.5681818181818185E-3</v>
      </c>
      <c r="K2746" s="4">
        <v>5.5681818181818185E-3</v>
      </c>
      <c r="L2746" s="4">
        <v>5.5681818181818185E-3</v>
      </c>
      <c r="M2746" s="4">
        <v>5.5681818181818185E-3</v>
      </c>
      <c r="N2746" t="s">
        <v>256</v>
      </c>
      <c r="O2746" t="s">
        <v>696</v>
      </c>
      <c r="P2746" t="s">
        <v>695</v>
      </c>
      <c r="Q2746" t="s">
        <v>245</v>
      </c>
    </row>
    <row r="2747" spans="1:18" x14ac:dyDescent="0.25">
      <c r="A2747" t="s">
        <v>695</v>
      </c>
      <c r="B2747" t="s">
        <v>107</v>
      </c>
      <c r="C2747" s="4">
        <v>7.2954545454545452E-2</v>
      </c>
      <c r="D2747" s="4">
        <v>7.2954545454545452E-2</v>
      </c>
      <c r="E2747" s="4">
        <v>7.2954545454545452E-2</v>
      </c>
      <c r="F2747" s="4">
        <v>7.2954545454545452E-2</v>
      </c>
      <c r="G2747" s="4">
        <v>7.2954545454545452E-2</v>
      </c>
      <c r="H2747" s="4">
        <v>7.2954545454545452E-2</v>
      </c>
      <c r="I2747" s="4">
        <v>7.2954545454545452E-2</v>
      </c>
      <c r="J2747" s="4">
        <v>7.2954545454545452E-2</v>
      </c>
      <c r="K2747" s="4">
        <v>7.2954545454545452E-2</v>
      </c>
      <c r="L2747" s="4">
        <v>7.2954545454545452E-2</v>
      </c>
      <c r="M2747" s="4">
        <v>7.2954545454545452E-2</v>
      </c>
      <c r="N2747" t="s">
        <v>256</v>
      </c>
      <c r="O2747" t="s">
        <v>696</v>
      </c>
      <c r="P2747" t="s">
        <v>695</v>
      </c>
      <c r="Q2747" t="s">
        <v>245</v>
      </c>
    </row>
    <row r="2748" spans="1:18" x14ac:dyDescent="0.25">
      <c r="A2748" t="s">
        <v>695</v>
      </c>
      <c r="B2748" t="s">
        <v>121</v>
      </c>
      <c r="C2748" s="4">
        <v>6.647727272727273E-3</v>
      </c>
      <c r="D2748" s="4">
        <v>6.647727272727273E-3</v>
      </c>
      <c r="E2748" s="4">
        <v>6.647727272727273E-3</v>
      </c>
      <c r="F2748" s="4">
        <v>6.647727272727273E-3</v>
      </c>
      <c r="G2748" s="4">
        <v>6.647727272727273E-3</v>
      </c>
      <c r="H2748" s="4">
        <v>6.647727272727273E-3</v>
      </c>
      <c r="I2748" s="4">
        <v>6.647727272727273E-3</v>
      </c>
      <c r="J2748" s="4">
        <v>6.647727272727273E-3</v>
      </c>
      <c r="K2748" s="4">
        <v>6.647727272727273E-3</v>
      </c>
      <c r="L2748" s="4">
        <v>6.647727272727273E-3</v>
      </c>
      <c r="M2748" s="4">
        <v>6.647727272727273E-3</v>
      </c>
      <c r="N2748" t="s">
        <v>256</v>
      </c>
      <c r="O2748" t="s">
        <v>696</v>
      </c>
      <c r="P2748" t="s">
        <v>695</v>
      </c>
      <c r="Q2748" t="s">
        <v>245</v>
      </c>
    </row>
    <row r="2749" spans="1:18" x14ac:dyDescent="0.25">
      <c r="A2749" t="s">
        <v>695</v>
      </c>
      <c r="B2749" t="s">
        <v>122</v>
      </c>
      <c r="C2749" s="4">
        <v>3.8636363636363638E-3</v>
      </c>
      <c r="D2749" s="4">
        <v>3.8636363636363638E-3</v>
      </c>
      <c r="E2749" s="4">
        <v>3.8636363636363638E-3</v>
      </c>
      <c r="F2749" s="4">
        <v>3.8636363636363638E-3</v>
      </c>
      <c r="G2749" s="4">
        <v>3.8636363636363638E-3</v>
      </c>
      <c r="H2749" s="4">
        <v>3.8636363636363638E-3</v>
      </c>
      <c r="I2749" s="4">
        <v>3.8636363636363638E-3</v>
      </c>
      <c r="J2749" s="4">
        <v>3.8636363636363638E-3</v>
      </c>
      <c r="K2749" s="4">
        <v>3.8636363636363638E-3</v>
      </c>
      <c r="L2749" s="4">
        <v>3.8636363636363638E-3</v>
      </c>
      <c r="M2749" s="4">
        <v>3.8636363636363638E-3</v>
      </c>
      <c r="N2749" t="s">
        <v>256</v>
      </c>
      <c r="O2749" t="s">
        <v>696</v>
      </c>
      <c r="P2749" t="s">
        <v>695</v>
      </c>
      <c r="Q2749" t="s">
        <v>245</v>
      </c>
    </row>
    <row r="2750" spans="1:18" x14ac:dyDescent="0.25">
      <c r="A2750" t="s">
        <v>424</v>
      </c>
      <c r="B2750" t="s">
        <v>183</v>
      </c>
      <c r="C2750" s="4">
        <f t="shared" ref="C2750:M2750" si="1399">(0.0900940072589024/(0.0900940072589024+0.00396421732885982+0.0572052587068733+0.752028927432513)) * 0.00017026467232329%</f>
        <v>1.698212720715831E-7</v>
      </c>
      <c r="D2750" s="4">
        <f t="shared" si="1399"/>
        <v>1.698212720715831E-7</v>
      </c>
      <c r="E2750" s="4">
        <f t="shared" si="1399"/>
        <v>1.698212720715831E-7</v>
      </c>
      <c r="F2750" s="4">
        <f t="shared" si="1399"/>
        <v>1.698212720715831E-7</v>
      </c>
      <c r="G2750" s="4">
        <f t="shared" si="1399"/>
        <v>1.698212720715831E-7</v>
      </c>
      <c r="H2750" s="4">
        <f t="shared" si="1399"/>
        <v>1.698212720715831E-7</v>
      </c>
      <c r="I2750" s="4">
        <f t="shared" si="1399"/>
        <v>1.698212720715831E-7</v>
      </c>
      <c r="J2750" s="4">
        <f t="shared" si="1399"/>
        <v>1.698212720715831E-7</v>
      </c>
      <c r="K2750" s="4">
        <f t="shared" si="1399"/>
        <v>1.698212720715831E-7</v>
      </c>
      <c r="L2750" s="4">
        <f t="shared" si="1399"/>
        <v>1.698212720715831E-7</v>
      </c>
      <c r="M2750" s="4">
        <f t="shared" si="1399"/>
        <v>1.698212720715831E-7</v>
      </c>
      <c r="N2750" t="s">
        <v>242</v>
      </c>
      <c r="O2750" t="s">
        <v>358</v>
      </c>
      <c r="P2750" t="s">
        <v>424</v>
      </c>
      <c r="Q2750" s="4" t="s">
        <v>245</v>
      </c>
      <c r="R2750" t="s">
        <v>425</v>
      </c>
    </row>
    <row r="2751" spans="1:18" x14ac:dyDescent="0.25">
      <c r="A2751" t="s">
        <v>424</v>
      </c>
      <c r="B2751" t="s">
        <v>183</v>
      </c>
      <c r="C2751" s="4">
        <f t="shared" ref="C2751:M2751" si="1400">(0.00396421732885982/(0.0900940072589024+0.00396421732885982+0.0572052587068733+0.752028927432513))  * 0.00017026467232329%</f>
        <v>7.4722886686635496E-9</v>
      </c>
      <c r="D2751" s="4">
        <f t="shared" si="1400"/>
        <v>7.4722886686635496E-9</v>
      </c>
      <c r="E2751" s="4">
        <f t="shared" si="1400"/>
        <v>7.4722886686635496E-9</v>
      </c>
      <c r="F2751" s="4">
        <f t="shared" si="1400"/>
        <v>7.4722886686635496E-9</v>
      </c>
      <c r="G2751" s="4">
        <f t="shared" si="1400"/>
        <v>7.4722886686635496E-9</v>
      </c>
      <c r="H2751" s="4">
        <f t="shared" si="1400"/>
        <v>7.4722886686635496E-9</v>
      </c>
      <c r="I2751" s="4">
        <f t="shared" si="1400"/>
        <v>7.4722886686635496E-9</v>
      </c>
      <c r="J2751" s="4">
        <f t="shared" si="1400"/>
        <v>7.4722886686635496E-9</v>
      </c>
      <c r="K2751" s="4">
        <f t="shared" si="1400"/>
        <v>7.4722886686635496E-9</v>
      </c>
      <c r="L2751" s="4">
        <f t="shared" si="1400"/>
        <v>7.4722886686635496E-9</v>
      </c>
      <c r="M2751" s="4">
        <f t="shared" si="1400"/>
        <v>7.4722886686635496E-9</v>
      </c>
      <c r="N2751" t="s">
        <v>256</v>
      </c>
      <c r="O2751" t="s">
        <v>353</v>
      </c>
      <c r="P2751" t="s">
        <v>424</v>
      </c>
      <c r="Q2751" s="4" t="s">
        <v>245</v>
      </c>
      <c r="R2751" t="s">
        <v>576</v>
      </c>
    </row>
    <row r="2752" spans="1:18" x14ac:dyDescent="0.25">
      <c r="A2752" t="s">
        <v>424</v>
      </c>
      <c r="B2752" t="s">
        <v>183</v>
      </c>
      <c r="C2752" s="4">
        <f t="shared" ref="C2752:M2752" si="1401">(0.0572052587068733/(0.0900940072589024+0.00396421732885982+0.0572052587068733+0.752028927432513)) * 0.00017026467232329%</f>
        <v>1.0782814638123778E-7</v>
      </c>
      <c r="D2752" s="4">
        <f t="shared" si="1401"/>
        <v>1.0782814638123778E-7</v>
      </c>
      <c r="E2752" s="4">
        <f t="shared" si="1401"/>
        <v>1.0782814638123778E-7</v>
      </c>
      <c r="F2752" s="4">
        <f t="shared" si="1401"/>
        <v>1.0782814638123778E-7</v>
      </c>
      <c r="G2752" s="4">
        <f t="shared" si="1401"/>
        <v>1.0782814638123778E-7</v>
      </c>
      <c r="H2752" s="4">
        <f t="shared" si="1401"/>
        <v>1.0782814638123778E-7</v>
      </c>
      <c r="I2752" s="4">
        <f t="shared" si="1401"/>
        <v>1.0782814638123778E-7</v>
      </c>
      <c r="J2752" s="4">
        <f t="shared" si="1401"/>
        <v>1.0782814638123778E-7</v>
      </c>
      <c r="K2752" s="4">
        <f t="shared" si="1401"/>
        <v>1.0782814638123778E-7</v>
      </c>
      <c r="L2752" s="4">
        <f t="shared" si="1401"/>
        <v>1.0782814638123778E-7</v>
      </c>
      <c r="M2752" s="4">
        <f t="shared" si="1401"/>
        <v>1.0782814638123778E-7</v>
      </c>
      <c r="N2752" t="s">
        <v>256</v>
      </c>
      <c r="O2752" t="s">
        <v>280</v>
      </c>
      <c r="P2752" t="s">
        <v>424</v>
      </c>
      <c r="Q2752" s="4" t="s">
        <v>245</v>
      </c>
    </row>
    <row r="2753" spans="1:17" x14ac:dyDescent="0.25">
      <c r="A2753" t="s">
        <v>424</v>
      </c>
      <c r="B2753" t="s">
        <v>183</v>
      </c>
      <c r="C2753" s="4">
        <f t="shared" ref="C2753:M2753" si="1402">(0.752028927432513/(0.0900940072589024+0.00396421732885982+0.0572052587068733+0.752028927432513)) * 0.00017026467232329%</f>
        <v>1.4175250161114156E-6</v>
      </c>
      <c r="D2753" s="4">
        <f t="shared" si="1402"/>
        <v>1.4175250161114156E-6</v>
      </c>
      <c r="E2753" s="4">
        <f t="shared" si="1402"/>
        <v>1.4175250161114156E-6</v>
      </c>
      <c r="F2753" s="4">
        <f t="shared" si="1402"/>
        <v>1.4175250161114156E-6</v>
      </c>
      <c r="G2753" s="4">
        <f t="shared" si="1402"/>
        <v>1.4175250161114156E-6</v>
      </c>
      <c r="H2753" s="4">
        <f t="shared" si="1402"/>
        <v>1.4175250161114156E-6</v>
      </c>
      <c r="I2753" s="4">
        <f t="shared" si="1402"/>
        <v>1.4175250161114156E-6</v>
      </c>
      <c r="J2753" s="4">
        <f t="shared" si="1402"/>
        <v>1.4175250161114156E-6</v>
      </c>
      <c r="K2753" s="4">
        <f t="shared" si="1402"/>
        <v>1.4175250161114156E-6</v>
      </c>
      <c r="L2753" s="4">
        <f t="shared" si="1402"/>
        <v>1.4175250161114156E-6</v>
      </c>
      <c r="M2753" s="4">
        <f t="shared" si="1402"/>
        <v>1.4175250161114156E-6</v>
      </c>
      <c r="N2753" t="s">
        <v>256</v>
      </c>
      <c r="O2753" t="s">
        <v>354</v>
      </c>
      <c r="P2753" t="s">
        <v>424</v>
      </c>
      <c r="Q2753" s="4" t="s">
        <v>245</v>
      </c>
    </row>
    <row r="2754" spans="1:17" x14ac:dyDescent="0.25">
      <c r="A2754" t="s">
        <v>424</v>
      </c>
      <c r="B2754" t="s">
        <v>124</v>
      </c>
      <c r="C2754" s="4">
        <f t="shared" ref="C2754:M2754" si="1403">(0.0900940072589024/(0.0900940072589024+0.00396421732885982+0.0572052587068733+0.752028927432513)) * 3.43738613550038%</f>
        <v>3.4284345552524189E-3</v>
      </c>
      <c r="D2754" s="4">
        <f t="shared" si="1403"/>
        <v>3.4284345552524189E-3</v>
      </c>
      <c r="E2754" s="4">
        <f t="shared" si="1403"/>
        <v>3.4284345552524189E-3</v>
      </c>
      <c r="F2754" s="4">
        <f t="shared" si="1403"/>
        <v>3.4284345552524189E-3</v>
      </c>
      <c r="G2754" s="4">
        <f t="shared" si="1403"/>
        <v>3.4284345552524189E-3</v>
      </c>
      <c r="H2754" s="4">
        <f t="shared" si="1403"/>
        <v>3.4284345552524189E-3</v>
      </c>
      <c r="I2754" s="4">
        <f t="shared" si="1403"/>
        <v>3.4284345552524189E-3</v>
      </c>
      <c r="J2754" s="4">
        <f t="shared" si="1403"/>
        <v>3.4284345552524189E-3</v>
      </c>
      <c r="K2754" s="4">
        <f t="shared" si="1403"/>
        <v>3.4284345552524189E-3</v>
      </c>
      <c r="L2754" s="4">
        <f t="shared" si="1403"/>
        <v>3.4284345552524189E-3</v>
      </c>
      <c r="M2754" s="4">
        <f t="shared" si="1403"/>
        <v>3.4284345552524189E-3</v>
      </c>
      <c r="N2754" t="s">
        <v>242</v>
      </c>
      <c r="O2754" t="s">
        <v>358</v>
      </c>
      <c r="P2754" t="s">
        <v>424</v>
      </c>
      <c r="Q2754" s="4" t="s">
        <v>245</v>
      </c>
    </row>
    <row r="2755" spans="1:17" x14ac:dyDescent="0.25">
      <c r="A2755" t="s">
        <v>424</v>
      </c>
      <c r="B2755" t="s">
        <v>124</v>
      </c>
      <c r="C2755" s="4">
        <f t="shared" ref="C2755:M2755" si="1404">(0.00396421732885982/(0.0900940072589024+0.00396421732885982+0.0572052587068733+0.752028927432513))  * 3.43738613550038%</f>
        <v>1.5085420316289115E-4</v>
      </c>
      <c r="D2755" s="4">
        <f t="shared" si="1404"/>
        <v>1.5085420316289115E-4</v>
      </c>
      <c r="E2755" s="4">
        <f t="shared" si="1404"/>
        <v>1.5085420316289115E-4</v>
      </c>
      <c r="F2755" s="4">
        <f t="shared" si="1404"/>
        <v>1.5085420316289115E-4</v>
      </c>
      <c r="G2755" s="4">
        <f t="shared" si="1404"/>
        <v>1.5085420316289115E-4</v>
      </c>
      <c r="H2755" s="4">
        <f t="shared" si="1404"/>
        <v>1.5085420316289115E-4</v>
      </c>
      <c r="I2755" s="4">
        <f t="shared" si="1404"/>
        <v>1.5085420316289115E-4</v>
      </c>
      <c r="J2755" s="4">
        <f t="shared" si="1404"/>
        <v>1.5085420316289115E-4</v>
      </c>
      <c r="K2755" s="4">
        <f t="shared" si="1404"/>
        <v>1.5085420316289115E-4</v>
      </c>
      <c r="L2755" s="4">
        <f t="shared" si="1404"/>
        <v>1.5085420316289115E-4</v>
      </c>
      <c r="M2755" s="4">
        <f t="shared" si="1404"/>
        <v>1.5085420316289115E-4</v>
      </c>
      <c r="N2755" t="s">
        <v>256</v>
      </c>
      <c r="O2755" t="s">
        <v>353</v>
      </c>
      <c r="P2755" t="s">
        <v>424</v>
      </c>
      <c r="Q2755" s="4" t="s">
        <v>245</v>
      </c>
    </row>
    <row r="2756" spans="1:17" x14ac:dyDescent="0.25">
      <c r="A2756" t="s">
        <v>424</v>
      </c>
      <c r="B2756" t="s">
        <v>124</v>
      </c>
      <c r="C2756" s="4">
        <f t="shared" ref="C2756:M2756" si="1405">(0.0572052587068733/(0.0900940072589024+0.00396421732885982+0.0572052587068733+0.752028927432513)) * 3.43738613550038%</f>
        <v>2.1768871388881325E-3</v>
      </c>
      <c r="D2756" s="4">
        <f t="shared" si="1405"/>
        <v>2.1768871388881325E-3</v>
      </c>
      <c r="E2756" s="4">
        <f t="shared" si="1405"/>
        <v>2.1768871388881325E-3</v>
      </c>
      <c r="F2756" s="4">
        <f t="shared" si="1405"/>
        <v>2.1768871388881325E-3</v>
      </c>
      <c r="G2756" s="4">
        <f t="shared" si="1405"/>
        <v>2.1768871388881325E-3</v>
      </c>
      <c r="H2756" s="4">
        <f t="shared" si="1405"/>
        <v>2.1768871388881325E-3</v>
      </c>
      <c r="I2756" s="4">
        <f t="shared" si="1405"/>
        <v>2.1768871388881325E-3</v>
      </c>
      <c r="J2756" s="4">
        <f t="shared" si="1405"/>
        <v>2.1768871388881325E-3</v>
      </c>
      <c r="K2756" s="4">
        <f t="shared" si="1405"/>
        <v>2.1768871388881325E-3</v>
      </c>
      <c r="L2756" s="4">
        <f t="shared" si="1405"/>
        <v>2.1768871388881325E-3</v>
      </c>
      <c r="M2756" s="4">
        <f t="shared" si="1405"/>
        <v>2.1768871388881325E-3</v>
      </c>
      <c r="N2756" t="s">
        <v>256</v>
      </c>
      <c r="O2756" t="s">
        <v>280</v>
      </c>
      <c r="P2756" t="s">
        <v>424</v>
      </c>
      <c r="Q2756" s="4" t="s">
        <v>245</v>
      </c>
    </row>
    <row r="2757" spans="1:17" x14ac:dyDescent="0.25">
      <c r="A2757" t="s">
        <v>424</v>
      </c>
      <c r="B2757" t="s">
        <v>124</v>
      </c>
      <c r="C2757" s="4">
        <f t="shared" ref="C2757:M2757" si="1406">(0.752028927432513/(0.0900940072589024+0.00396421732885982+0.0572052587068733+0.752028927432513)) * 3.43738613550038%</f>
        <v>2.8617685457700354E-2</v>
      </c>
      <c r="D2757" s="4">
        <f t="shared" si="1406"/>
        <v>2.8617685457700354E-2</v>
      </c>
      <c r="E2757" s="4">
        <f t="shared" si="1406"/>
        <v>2.8617685457700354E-2</v>
      </c>
      <c r="F2757" s="4">
        <f t="shared" si="1406"/>
        <v>2.8617685457700354E-2</v>
      </c>
      <c r="G2757" s="4">
        <f t="shared" si="1406"/>
        <v>2.8617685457700354E-2</v>
      </c>
      <c r="H2757" s="4">
        <f t="shared" si="1406"/>
        <v>2.8617685457700354E-2</v>
      </c>
      <c r="I2757" s="4">
        <f t="shared" si="1406"/>
        <v>2.8617685457700354E-2</v>
      </c>
      <c r="J2757" s="4">
        <f t="shared" si="1406"/>
        <v>2.8617685457700354E-2</v>
      </c>
      <c r="K2757" s="4">
        <f t="shared" si="1406"/>
        <v>2.8617685457700354E-2</v>
      </c>
      <c r="L2757" s="4">
        <f t="shared" si="1406"/>
        <v>2.8617685457700354E-2</v>
      </c>
      <c r="M2757" s="4">
        <f t="shared" si="1406"/>
        <v>2.8617685457700354E-2</v>
      </c>
      <c r="N2757" t="s">
        <v>256</v>
      </c>
      <c r="O2757" t="s">
        <v>354</v>
      </c>
      <c r="P2757" t="s">
        <v>424</v>
      </c>
      <c r="Q2757" s="4" t="s">
        <v>245</v>
      </c>
    </row>
    <row r="2758" spans="1:17" x14ac:dyDescent="0.25">
      <c r="A2758" t="s">
        <v>424</v>
      </c>
      <c r="B2758" t="s">
        <v>164</v>
      </c>
      <c r="C2758" s="4">
        <f t="shared" ref="C2758:M2758" si="1407">(0.0900940072589024/(0.0900940072589024+0.00396421732885982+0.0572052587068733+0.752028927432513)) * 0.067885699094415%</f>
        <v>6.7708912356126693E-5</v>
      </c>
      <c r="D2758" s="4">
        <f t="shared" si="1407"/>
        <v>6.7708912356126693E-5</v>
      </c>
      <c r="E2758" s="4">
        <f t="shared" si="1407"/>
        <v>6.7708912356126693E-5</v>
      </c>
      <c r="F2758" s="4">
        <f t="shared" si="1407"/>
        <v>6.7708912356126693E-5</v>
      </c>
      <c r="G2758" s="4">
        <f t="shared" si="1407"/>
        <v>6.7708912356126693E-5</v>
      </c>
      <c r="H2758" s="4">
        <f t="shared" si="1407"/>
        <v>6.7708912356126693E-5</v>
      </c>
      <c r="I2758" s="4">
        <f t="shared" si="1407"/>
        <v>6.7708912356126693E-5</v>
      </c>
      <c r="J2758" s="4">
        <f t="shared" si="1407"/>
        <v>6.7708912356126693E-5</v>
      </c>
      <c r="K2758" s="4">
        <f t="shared" si="1407"/>
        <v>6.7708912356126693E-5</v>
      </c>
      <c r="L2758" s="4">
        <f t="shared" si="1407"/>
        <v>6.7708912356126693E-5</v>
      </c>
      <c r="M2758" s="4">
        <f t="shared" si="1407"/>
        <v>6.7708912356126693E-5</v>
      </c>
      <c r="N2758" t="s">
        <v>242</v>
      </c>
      <c r="O2758" t="s">
        <v>358</v>
      </c>
      <c r="P2758" t="s">
        <v>424</v>
      </c>
      <c r="Q2758" s="4" t="s">
        <v>245</v>
      </c>
    </row>
    <row r="2759" spans="1:17" x14ac:dyDescent="0.25">
      <c r="A2759" t="s">
        <v>424</v>
      </c>
      <c r="B2759" t="s">
        <v>164</v>
      </c>
      <c r="C2759" s="4">
        <f t="shared" ref="C2759:M2759" si="1408">(0.00396421732885982/(0.0900940072589024+0.00396421732885982+0.0572052587068733+0.752028927432513))  * 0.067885699094415%</f>
        <v>2.9792530252214502E-6</v>
      </c>
      <c r="D2759" s="4">
        <f t="shared" si="1408"/>
        <v>2.9792530252214502E-6</v>
      </c>
      <c r="E2759" s="4">
        <f t="shared" si="1408"/>
        <v>2.9792530252214502E-6</v>
      </c>
      <c r="F2759" s="4">
        <f t="shared" si="1408"/>
        <v>2.9792530252214502E-6</v>
      </c>
      <c r="G2759" s="4">
        <f t="shared" si="1408"/>
        <v>2.9792530252214502E-6</v>
      </c>
      <c r="H2759" s="4">
        <f t="shared" si="1408"/>
        <v>2.9792530252214502E-6</v>
      </c>
      <c r="I2759" s="4">
        <f t="shared" si="1408"/>
        <v>2.9792530252214502E-6</v>
      </c>
      <c r="J2759" s="4">
        <f t="shared" si="1408"/>
        <v>2.9792530252214502E-6</v>
      </c>
      <c r="K2759" s="4">
        <f t="shared" si="1408"/>
        <v>2.9792530252214502E-6</v>
      </c>
      <c r="L2759" s="4">
        <f t="shared" si="1408"/>
        <v>2.9792530252214502E-6</v>
      </c>
      <c r="M2759" s="4">
        <f t="shared" si="1408"/>
        <v>2.9792530252214502E-6</v>
      </c>
      <c r="N2759" t="s">
        <v>256</v>
      </c>
      <c r="O2759" t="s">
        <v>353</v>
      </c>
      <c r="P2759" t="s">
        <v>424</v>
      </c>
      <c r="Q2759" s="4" t="s">
        <v>245</v>
      </c>
    </row>
    <row r="2760" spans="1:17" x14ac:dyDescent="0.25">
      <c r="A2760" t="s">
        <v>424</v>
      </c>
      <c r="B2760" t="s">
        <v>164</v>
      </c>
      <c r="C2760" s="4">
        <f t="shared" ref="C2760:M2760" si="1409">(0.0572052587068733/(0.0900940072589024+0.00396421732885982+0.0572052587068733+0.752028927432513)) * 0.067885699094415%</f>
        <v>4.2991825604588217E-5</v>
      </c>
      <c r="D2760" s="4">
        <f t="shared" si="1409"/>
        <v>4.2991825604588217E-5</v>
      </c>
      <c r="E2760" s="4">
        <f t="shared" si="1409"/>
        <v>4.2991825604588217E-5</v>
      </c>
      <c r="F2760" s="4">
        <f t="shared" si="1409"/>
        <v>4.2991825604588217E-5</v>
      </c>
      <c r="G2760" s="4">
        <f t="shared" si="1409"/>
        <v>4.2991825604588217E-5</v>
      </c>
      <c r="H2760" s="4">
        <f t="shared" si="1409"/>
        <v>4.2991825604588217E-5</v>
      </c>
      <c r="I2760" s="4">
        <f t="shared" si="1409"/>
        <v>4.2991825604588217E-5</v>
      </c>
      <c r="J2760" s="4">
        <f t="shared" si="1409"/>
        <v>4.2991825604588217E-5</v>
      </c>
      <c r="K2760" s="4">
        <f t="shared" si="1409"/>
        <v>4.2991825604588217E-5</v>
      </c>
      <c r="L2760" s="4">
        <f t="shared" si="1409"/>
        <v>4.2991825604588217E-5</v>
      </c>
      <c r="M2760" s="4">
        <f t="shared" si="1409"/>
        <v>4.2991825604588217E-5</v>
      </c>
      <c r="N2760" t="s">
        <v>256</v>
      </c>
      <c r="O2760" t="s">
        <v>280</v>
      </c>
      <c r="P2760" t="s">
        <v>424</v>
      </c>
      <c r="Q2760" s="4" t="s">
        <v>245</v>
      </c>
    </row>
    <row r="2761" spans="1:17" x14ac:dyDescent="0.25">
      <c r="A2761" t="s">
        <v>424</v>
      </c>
      <c r="B2761" t="s">
        <v>164</v>
      </c>
      <c r="C2761" s="4">
        <f t="shared" ref="C2761:M2761" si="1410">(0.752028927432513/(0.0900940072589024+0.00396421732885982+0.0572052587068733+0.752028927432513)) * 0.067885699094415%</f>
        <v>5.651769999582137E-4</v>
      </c>
      <c r="D2761" s="4">
        <f t="shared" si="1410"/>
        <v>5.651769999582137E-4</v>
      </c>
      <c r="E2761" s="4">
        <f t="shared" si="1410"/>
        <v>5.651769999582137E-4</v>
      </c>
      <c r="F2761" s="4">
        <f t="shared" si="1410"/>
        <v>5.651769999582137E-4</v>
      </c>
      <c r="G2761" s="4">
        <f t="shared" si="1410"/>
        <v>5.651769999582137E-4</v>
      </c>
      <c r="H2761" s="4">
        <f t="shared" si="1410"/>
        <v>5.651769999582137E-4</v>
      </c>
      <c r="I2761" s="4">
        <f t="shared" si="1410"/>
        <v>5.651769999582137E-4</v>
      </c>
      <c r="J2761" s="4">
        <f t="shared" si="1410"/>
        <v>5.651769999582137E-4</v>
      </c>
      <c r="K2761" s="4">
        <f t="shared" si="1410"/>
        <v>5.651769999582137E-4</v>
      </c>
      <c r="L2761" s="4">
        <f t="shared" si="1410"/>
        <v>5.651769999582137E-4</v>
      </c>
      <c r="M2761" s="4">
        <f t="shared" si="1410"/>
        <v>5.651769999582137E-4</v>
      </c>
      <c r="N2761" t="s">
        <v>256</v>
      </c>
      <c r="O2761" t="s">
        <v>354</v>
      </c>
      <c r="P2761" t="s">
        <v>424</v>
      </c>
      <c r="Q2761" s="4" t="s">
        <v>245</v>
      </c>
    </row>
    <row r="2762" spans="1:17" x14ac:dyDescent="0.25">
      <c r="A2762" t="s">
        <v>424</v>
      </c>
      <c r="B2762" t="s">
        <v>83</v>
      </c>
      <c r="C2762" s="4">
        <f t="shared" ref="C2762:M2762" si="1411">(0.0900940072589024/(0.0900940072589024+0.00396421732885982+0.0572052587068733+0.752028927432513)) * 4.67259541955153%</f>
        <v>4.6604271291076985E-3</v>
      </c>
      <c r="D2762" s="4">
        <f t="shared" si="1411"/>
        <v>4.6604271291076985E-3</v>
      </c>
      <c r="E2762" s="4">
        <f t="shared" si="1411"/>
        <v>4.6604271291076985E-3</v>
      </c>
      <c r="F2762" s="4">
        <f t="shared" si="1411"/>
        <v>4.6604271291076985E-3</v>
      </c>
      <c r="G2762" s="4">
        <f t="shared" si="1411"/>
        <v>4.6604271291076985E-3</v>
      </c>
      <c r="H2762" s="4">
        <f t="shared" si="1411"/>
        <v>4.6604271291076985E-3</v>
      </c>
      <c r="I2762" s="4">
        <f t="shared" si="1411"/>
        <v>4.6604271291076985E-3</v>
      </c>
      <c r="J2762" s="4">
        <f t="shared" si="1411"/>
        <v>4.6604271291076985E-3</v>
      </c>
      <c r="K2762" s="4">
        <f t="shared" si="1411"/>
        <v>4.6604271291076985E-3</v>
      </c>
      <c r="L2762" s="4">
        <f t="shared" si="1411"/>
        <v>4.6604271291076985E-3</v>
      </c>
      <c r="M2762" s="4">
        <f t="shared" si="1411"/>
        <v>4.6604271291076985E-3</v>
      </c>
      <c r="N2762" t="s">
        <v>242</v>
      </c>
      <c r="O2762" t="s">
        <v>358</v>
      </c>
      <c r="P2762" t="s">
        <v>424</v>
      </c>
      <c r="Q2762" s="4" t="s">
        <v>245</v>
      </c>
    </row>
    <row r="2763" spans="1:17" x14ac:dyDescent="0.25">
      <c r="A2763" t="s">
        <v>424</v>
      </c>
      <c r="B2763" t="s">
        <v>83</v>
      </c>
      <c r="C2763" s="4">
        <f t="shared" ref="C2763:M2763" si="1412">(0.00396421732885982/(0.0900940072589024+0.00396421732885982+0.0572052587068733+0.752028927432513))  * 4.67259541955153%</f>
        <v>2.0506298417835787E-4</v>
      </c>
      <c r="D2763" s="4">
        <f t="shared" si="1412"/>
        <v>2.0506298417835787E-4</v>
      </c>
      <c r="E2763" s="4">
        <f t="shared" si="1412"/>
        <v>2.0506298417835787E-4</v>
      </c>
      <c r="F2763" s="4">
        <f t="shared" si="1412"/>
        <v>2.0506298417835787E-4</v>
      </c>
      <c r="G2763" s="4">
        <f t="shared" si="1412"/>
        <v>2.0506298417835787E-4</v>
      </c>
      <c r="H2763" s="4">
        <f t="shared" si="1412"/>
        <v>2.0506298417835787E-4</v>
      </c>
      <c r="I2763" s="4">
        <f t="shared" si="1412"/>
        <v>2.0506298417835787E-4</v>
      </c>
      <c r="J2763" s="4">
        <f t="shared" si="1412"/>
        <v>2.0506298417835787E-4</v>
      </c>
      <c r="K2763" s="4">
        <f t="shared" si="1412"/>
        <v>2.0506298417835787E-4</v>
      </c>
      <c r="L2763" s="4">
        <f t="shared" si="1412"/>
        <v>2.0506298417835787E-4</v>
      </c>
      <c r="M2763" s="4">
        <f t="shared" si="1412"/>
        <v>2.0506298417835787E-4</v>
      </c>
      <c r="N2763" t="s">
        <v>256</v>
      </c>
      <c r="O2763" t="s">
        <v>353</v>
      </c>
      <c r="P2763" t="s">
        <v>424</v>
      </c>
      <c r="Q2763" s="4" t="s">
        <v>245</v>
      </c>
    </row>
    <row r="2764" spans="1:17" x14ac:dyDescent="0.25">
      <c r="A2764" t="s">
        <v>424</v>
      </c>
      <c r="B2764" t="s">
        <v>83</v>
      </c>
      <c r="C2764" s="4">
        <f t="shared" ref="C2764:M2764" si="1413">(0.0572052587068733/(0.0900940072589024+0.00396421732885982+0.0572052587068733+0.752028927432513)) * 4.67259541955153%</f>
        <v>2.9591417644350944E-3</v>
      </c>
      <c r="D2764" s="4">
        <f t="shared" si="1413"/>
        <v>2.9591417644350944E-3</v>
      </c>
      <c r="E2764" s="4">
        <f t="shared" si="1413"/>
        <v>2.9591417644350944E-3</v>
      </c>
      <c r="F2764" s="4">
        <f t="shared" si="1413"/>
        <v>2.9591417644350944E-3</v>
      </c>
      <c r="G2764" s="4">
        <f t="shared" si="1413"/>
        <v>2.9591417644350944E-3</v>
      </c>
      <c r="H2764" s="4">
        <f t="shared" si="1413"/>
        <v>2.9591417644350944E-3</v>
      </c>
      <c r="I2764" s="4">
        <f t="shared" si="1413"/>
        <v>2.9591417644350944E-3</v>
      </c>
      <c r="J2764" s="4">
        <f t="shared" si="1413"/>
        <v>2.9591417644350944E-3</v>
      </c>
      <c r="K2764" s="4">
        <f t="shared" si="1413"/>
        <v>2.9591417644350944E-3</v>
      </c>
      <c r="L2764" s="4">
        <f t="shared" si="1413"/>
        <v>2.9591417644350944E-3</v>
      </c>
      <c r="M2764" s="4">
        <f t="shared" si="1413"/>
        <v>2.9591417644350944E-3</v>
      </c>
      <c r="N2764" t="s">
        <v>256</v>
      </c>
      <c r="O2764" t="s">
        <v>280</v>
      </c>
      <c r="P2764" t="s">
        <v>424</v>
      </c>
      <c r="Q2764" s="4" t="s">
        <v>245</v>
      </c>
    </row>
    <row r="2765" spans="1:17" x14ac:dyDescent="0.25">
      <c r="A2765" t="s">
        <v>424</v>
      </c>
      <c r="B2765" t="s">
        <v>83</v>
      </c>
      <c r="C2765" s="4">
        <f t="shared" ref="C2765:M2765" si="1414">(0.752028927432513/(0.0900940072589024+0.00396421732885982+0.0572052587068733+0.752028927432513)) * 4.67259541955153%</f>
        <v>3.8901322317794147E-2</v>
      </c>
      <c r="D2765" s="4">
        <f t="shared" si="1414"/>
        <v>3.8901322317794147E-2</v>
      </c>
      <c r="E2765" s="4">
        <f t="shared" si="1414"/>
        <v>3.8901322317794147E-2</v>
      </c>
      <c r="F2765" s="4">
        <f t="shared" si="1414"/>
        <v>3.8901322317794147E-2</v>
      </c>
      <c r="G2765" s="4">
        <f t="shared" si="1414"/>
        <v>3.8901322317794147E-2</v>
      </c>
      <c r="H2765" s="4">
        <f t="shared" si="1414"/>
        <v>3.8901322317794147E-2</v>
      </c>
      <c r="I2765" s="4">
        <f t="shared" si="1414"/>
        <v>3.8901322317794147E-2</v>
      </c>
      <c r="J2765" s="4">
        <f t="shared" si="1414"/>
        <v>3.8901322317794147E-2</v>
      </c>
      <c r="K2765" s="4">
        <f t="shared" si="1414"/>
        <v>3.8901322317794147E-2</v>
      </c>
      <c r="L2765" s="4">
        <f t="shared" si="1414"/>
        <v>3.8901322317794147E-2</v>
      </c>
      <c r="M2765" s="4">
        <f t="shared" si="1414"/>
        <v>3.8901322317794147E-2</v>
      </c>
      <c r="N2765" t="s">
        <v>256</v>
      </c>
      <c r="O2765" t="s">
        <v>354</v>
      </c>
      <c r="P2765" t="s">
        <v>424</v>
      </c>
      <c r="Q2765" s="4" t="s">
        <v>245</v>
      </c>
    </row>
    <row r="2766" spans="1:17" x14ac:dyDescent="0.25">
      <c r="A2766" t="s">
        <v>424</v>
      </c>
      <c r="B2766" t="s">
        <v>125</v>
      </c>
      <c r="C2766" s="4">
        <f t="shared" ref="C2766:M2766" si="1415">(0.0900940072589024/(0.0900940072589024+0.00396421732885982+0.0572052587068733+0.752028927432513)) * 0.0306513105154405%</f>
        <v>3.0571488914093349E-5</v>
      </c>
      <c r="D2766" s="4">
        <f t="shared" si="1415"/>
        <v>3.0571488914093349E-5</v>
      </c>
      <c r="E2766" s="4">
        <f t="shared" si="1415"/>
        <v>3.0571488914093349E-5</v>
      </c>
      <c r="F2766" s="4">
        <f t="shared" si="1415"/>
        <v>3.0571488914093349E-5</v>
      </c>
      <c r="G2766" s="4">
        <f t="shared" si="1415"/>
        <v>3.0571488914093349E-5</v>
      </c>
      <c r="H2766" s="4">
        <f t="shared" si="1415"/>
        <v>3.0571488914093349E-5</v>
      </c>
      <c r="I2766" s="4">
        <f t="shared" si="1415"/>
        <v>3.0571488914093349E-5</v>
      </c>
      <c r="J2766" s="4">
        <f t="shared" si="1415"/>
        <v>3.0571488914093349E-5</v>
      </c>
      <c r="K2766" s="4">
        <f t="shared" si="1415"/>
        <v>3.0571488914093349E-5</v>
      </c>
      <c r="L2766" s="4">
        <f t="shared" si="1415"/>
        <v>3.0571488914093349E-5</v>
      </c>
      <c r="M2766" s="4">
        <f t="shared" si="1415"/>
        <v>3.0571488914093349E-5</v>
      </c>
      <c r="N2766" t="s">
        <v>242</v>
      </c>
      <c r="O2766" t="s">
        <v>358</v>
      </c>
      <c r="P2766" t="s">
        <v>424</v>
      </c>
      <c r="Q2766" s="4" t="s">
        <v>245</v>
      </c>
    </row>
    <row r="2767" spans="1:17" x14ac:dyDescent="0.25">
      <c r="A2767" t="s">
        <v>424</v>
      </c>
      <c r="B2767" t="s">
        <v>125</v>
      </c>
      <c r="C2767" s="4">
        <f t="shared" ref="C2767:M2767" si="1416">(0.00396421732885982/(0.0900940072589024+0.00396421732885982+0.0572052587068733+0.752028927432513))  * 0.0306513105154405%</f>
        <v>1.345173001063503E-6</v>
      </c>
      <c r="D2767" s="4">
        <f t="shared" si="1416"/>
        <v>1.345173001063503E-6</v>
      </c>
      <c r="E2767" s="4">
        <f t="shared" si="1416"/>
        <v>1.345173001063503E-6</v>
      </c>
      <c r="F2767" s="4">
        <f t="shared" si="1416"/>
        <v>1.345173001063503E-6</v>
      </c>
      <c r="G2767" s="4">
        <f t="shared" si="1416"/>
        <v>1.345173001063503E-6</v>
      </c>
      <c r="H2767" s="4">
        <f t="shared" si="1416"/>
        <v>1.345173001063503E-6</v>
      </c>
      <c r="I2767" s="4">
        <f t="shared" si="1416"/>
        <v>1.345173001063503E-6</v>
      </c>
      <c r="J2767" s="4">
        <f t="shared" si="1416"/>
        <v>1.345173001063503E-6</v>
      </c>
      <c r="K2767" s="4">
        <f t="shared" si="1416"/>
        <v>1.345173001063503E-6</v>
      </c>
      <c r="L2767" s="4">
        <f t="shared" si="1416"/>
        <v>1.345173001063503E-6</v>
      </c>
      <c r="M2767" s="4">
        <f t="shared" si="1416"/>
        <v>1.345173001063503E-6</v>
      </c>
      <c r="N2767" t="s">
        <v>256</v>
      </c>
      <c r="O2767" t="s">
        <v>353</v>
      </c>
      <c r="P2767" t="s">
        <v>424</v>
      </c>
      <c r="Q2767" s="4" t="s">
        <v>245</v>
      </c>
    </row>
    <row r="2768" spans="1:17" x14ac:dyDescent="0.25">
      <c r="A2768" t="s">
        <v>424</v>
      </c>
      <c r="B2768" t="s">
        <v>125</v>
      </c>
      <c r="C2768" s="4">
        <f t="shared" ref="C2768:M2768" si="1417">(0.0572052587068733/(0.0900940072589024+0.00396421732885982+0.0572052587068733+0.752028927432513)) * 0.0306513105154405%</f>
        <v>1.9411390231087886E-5</v>
      </c>
      <c r="D2768" s="4">
        <f t="shared" si="1417"/>
        <v>1.9411390231087886E-5</v>
      </c>
      <c r="E2768" s="4">
        <f t="shared" si="1417"/>
        <v>1.9411390231087886E-5</v>
      </c>
      <c r="F2768" s="4">
        <f t="shared" si="1417"/>
        <v>1.9411390231087886E-5</v>
      </c>
      <c r="G2768" s="4">
        <f t="shared" si="1417"/>
        <v>1.9411390231087886E-5</v>
      </c>
      <c r="H2768" s="4">
        <f t="shared" si="1417"/>
        <v>1.9411390231087886E-5</v>
      </c>
      <c r="I2768" s="4">
        <f t="shared" si="1417"/>
        <v>1.9411390231087886E-5</v>
      </c>
      <c r="J2768" s="4">
        <f t="shared" si="1417"/>
        <v>1.9411390231087886E-5</v>
      </c>
      <c r="K2768" s="4">
        <f t="shared" si="1417"/>
        <v>1.9411390231087886E-5</v>
      </c>
      <c r="L2768" s="4">
        <f t="shared" si="1417"/>
        <v>1.9411390231087886E-5</v>
      </c>
      <c r="M2768" s="4">
        <f t="shared" si="1417"/>
        <v>1.9411390231087886E-5</v>
      </c>
      <c r="N2768" t="s">
        <v>256</v>
      </c>
      <c r="O2768" t="s">
        <v>280</v>
      </c>
      <c r="P2768" t="s">
        <v>424</v>
      </c>
      <c r="Q2768" s="4" t="s">
        <v>245</v>
      </c>
    </row>
    <row r="2769" spans="1:17" x14ac:dyDescent="0.25">
      <c r="A2769" t="s">
        <v>424</v>
      </c>
      <c r="B2769" t="s">
        <v>125</v>
      </c>
      <c r="C2769" s="4">
        <f t="shared" ref="C2769:M2769" si="1418">(0.752028927432513/(0.0900940072589024+0.00396421732885982+0.0572052587068733+0.752028927432513)) * 0.0306513105154405%</f>
        <v>2.5518505300816026E-4</v>
      </c>
      <c r="D2769" s="4">
        <f t="shared" si="1418"/>
        <v>2.5518505300816026E-4</v>
      </c>
      <c r="E2769" s="4">
        <f t="shared" si="1418"/>
        <v>2.5518505300816026E-4</v>
      </c>
      <c r="F2769" s="4">
        <f t="shared" si="1418"/>
        <v>2.5518505300816026E-4</v>
      </c>
      <c r="G2769" s="4">
        <f t="shared" si="1418"/>
        <v>2.5518505300816026E-4</v>
      </c>
      <c r="H2769" s="4">
        <f t="shared" si="1418"/>
        <v>2.5518505300816026E-4</v>
      </c>
      <c r="I2769" s="4">
        <f t="shared" si="1418"/>
        <v>2.5518505300816026E-4</v>
      </c>
      <c r="J2769" s="4">
        <f t="shared" si="1418"/>
        <v>2.5518505300816026E-4</v>
      </c>
      <c r="K2769" s="4">
        <f t="shared" si="1418"/>
        <v>2.5518505300816026E-4</v>
      </c>
      <c r="L2769" s="4">
        <f t="shared" si="1418"/>
        <v>2.5518505300816026E-4</v>
      </c>
      <c r="M2769" s="4">
        <f t="shared" si="1418"/>
        <v>2.5518505300816026E-4</v>
      </c>
      <c r="N2769" t="s">
        <v>256</v>
      </c>
      <c r="O2769" t="s">
        <v>354</v>
      </c>
      <c r="P2769" t="s">
        <v>424</v>
      </c>
      <c r="Q2769" s="4" t="s">
        <v>245</v>
      </c>
    </row>
    <row r="2770" spans="1:17" x14ac:dyDescent="0.25">
      <c r="A2770" t="s">
        <v>424</v>
      </c>
      <c r="B2770" t="s">
        <v>144</v>
      </c>
      <c r="C2770" s="4">
        <f t="shared" ref="C2770:M2770" si="1419">(0.0900940072589024/(0.0900940072589024+0.00396421732885982+0.0572052587068733+0.752028927432513)) * 4.24589306932367%</f>
        <v>4.2348359896020238E-3</v>
      </c>
      <c r="D2770" s="4">
        <f t="shared" si="1419"/>
        <v>4.2348359896020238E-3</v>
      </c>
      <c r="E2770" s="4">
        <f t="shared" si="1419"/>
        <v>4.2348359896020238E-3</v>
      </c>
      <c r="F2770" s="4">
        <f t="shared" si="1419"/>
        <v>4.2348359896020238E-3</v>
      </c>
      <c r="G2770" s="4">
        <f t="shared" si="1419"/>
        <v>4.2348359896020238E-3</v>
      </c>
      <c r="H2770" s="4">
        <f t="shared" si="1419"/>
        <v>4.2348359896020238E-3</v>
      </c>
      <c r="I2770" s="4">
        <f t="shared" si="1419"/>
        <v>4.2348359896020238E-3</v>
      </c>
      <c r="J2770" s="4">
        <f t="shared" si="1419"/>
        <v>4.2348359896020238E-3</v>
      </c>
      <c r="K2770" s="4">
        <f t="shared" si="1419"/>
        <v>4.2348359896020238E-3</v>
      </c>
      <c r="L2770" s="4">
        <f t="shared" si="1419"/>
        <v>4.2348359896020238E-3</v>
      </c>
      <c r="M2770" s="4">
        <f t="shared" si="1419"/>
        <v>4.2348359896020238E-3</v>
      </c>
      <c r="N2770" t="s">
        <v>242</v>
      </c>
      <c r="O2770" t="s">
        <v>358</v>
      </c>
      <c r="P2770" t="s">
        <v>424</v>
      </c>
      <c r="Q2770" s="4" t="s">
        <v>245</v>
      </c>
    </row>
    <row r="2771" spans="1:17" x14ac:dyDescent="0.25">
      <c r="A2771" t="s">
        <v>424</v>
      </c>
      <c r="B2771" t="s">
        <v>144</v>
      </c>
      <c r="C2771" s="4">
        <f t="shared" ref="C2771:M2771" si="1420">(0.00396421732885982/(0.0900940072589024+0.00396421732885982+0.0572052587068733+0.752028927432513))  * 4.24589306932367%</f>
        <v>1.8633659136302571E-4</v>
      </c>
      <c r="D2771" s="4">
        <f t="shared" si="1420"/>
        <v>1.8633659136302571E-4</v>
      </c>
      <c r="E2771" s="4">
        <f t="shared" si="1420"/>
        <v>1.8633659136302571E-4</v>
      </c>
      <c r="F2771" s="4">
        <f t="shared" si="1420"/>
        <v>1.8633659136302571E-4</v>
      </c>
      <c r="G2771" s="4">
        <f t="shared" si="1420"/>
        <v>1.8633659136302571E-4</v>
      </c>
      <c r="H2771" s="4">
        <f t="shared" si="1420"/>
        <v>1.8633659136302571E-4</v>
      </c>
      <c r="I2771" s="4">
        <f t="shared" si="1420"/>
        <v>1.8633659136302571E-4</v>
      </c>
      <c r="J2771" s="4">
        <f t="shared" si="1420"/>
        <v>1.8633659136302571E-4</v>
      </c>
      <c r="K2771" s="4">
        <f t="shared" si="1420"/>
        <v>1.8633659136302571E-4</v>
      </c>
      <c r="L2771" s="4">
        <f t="shared" si="1420"/>
        <v>1.8633659136302571E-4</v>
      </c>
      <c r="M2771" s="4">
        <f t="shared" si="1420"/>
        <v>1.8633659136302571E-4</v>
      </c>
      <c r="N2771" t="s">
        <v>256</v>
      </c>
      <c r="O2771" t="s">
        <v>353</v>
      </c>
      <c r="P2771" t="s">
        <v>424</v>
      </c>
      <c r="Q2771" s="4" t="s">
        <v>245</v>
      </c>
    </row>
    <row r="2772" spans="1:17" x14ac:dyDescent="0.25">
      <c r="A2772" t="s">
        <v>424</v>
      </c>
      <c r="B2772" t="s">
        <v>144</v>
      </c>
      <c r="C2772" s="4">
        <f t="shared" ref="C2772:M2772" si="1421">(0.0572052587068733/(0.0900940072589024+0.00396421732885982+0.0572052587068733+0.752028927432513)) * 4.24589306932367%</f>
        <v>2.6889123454148919E-3</v>
      </c>
      <c r="D2772" s="4">
        <f t="shared" si="1421"/>
        <v>2.6889123454148919E-3</v>
      </c>
      <c r="E2772" s="4">
        <f t="shared" si="1421"/>
        <v>2.6889123454148919E-3</v>
      </c>
      <c r="F2772" s="4">
        <f t="shared" si="1421"/>
        <v>2.6889123454148919E-3</v>
      </c>
      <c r="G2772" s="4">
        <f t="shared" si="1421"/>
        <v>2.6889123454148919E-3</v>
      </c>
      <c r="H2772" s="4">
        <f t="shared" si="1421"/>
        <v>2.6889123454148919E-3</v>
      </c>
      <c r="I2772" s="4">
        <f t="shared" si="1421"/>
        <v>2.6889123454148919E-3</v>
      </c>
      <c r="J2772" s="4">
        <f t="shared" si="1421"/>
        <v>2.6889123454148919E-3</v>
      </c>
      <c r="K2772" s="4">
        <f t="shared" si="1421"/>
        <v>2.6889123454148919E-3</v>
      </c>
      <c r="L2772" s="4">
        <f t="shared" si="1421"/>
        <v>2.6889123454148919E-3</v>
      </c>
      <c r="M2772" s="4">
        <f t="shared" si="1421"/>
        <v>2.6889123454148919E-3</v>
      </c>
      <c r="N2772" t="s">
        <v>256</v>
      </c>
      <c r="O2772" t="s">
        <v>280</v>
      </c>
      <c r="P2772" t="s">
        <v>424</v>
      </c>
      <c r="Q2772" s="4" t="s">
        <v>245</v>
      </c>
    </row>
    <row r="2773" spans="1:17" x14ac:dyDescent="0.25">
      <c r="A2773" t="s">
        <v>424</v>
      </c>
      <c r="B2773" t="s">
        <v>144</v>
      </c>
      <c r="C2773" s="4">
        <f t="shared" ref="C2773:M2773" si="1422">(0.752028927432513/(0.0900940072589024+0.00396421732885982+0.0572052587068733+0.752028927432513)) * 4.24589306932367%</f>
        <v>3.5348845766856762E-2</v>
      </c>
      <c r="D2773" s="4">
        <f t="shared" si="1422"/>
        <v>3.5348845766856762E-2</v>
      </c>
      <c r="E2773" s="4">
        <f t="shared" si="1422"/>
        <v>3.5348845766856762E-2</v>
      </c>
      <c r="F2773" s="4">
        <f t="shared" si="1422"/>
        <v>3.5348845766856762E-2</v>
      </c>
      <c r="G2773" s="4">
        <f t="shared" si="1422"/>
        <v>3.5348845766856762E-2</v>
      </c>
      <c r="H2773" s="4">
        <f t="shared" si="1422"/>
        <v>3.5348845766856762E-2</v>
      </c>
      <c r="I2773" s="4">
        <f t="shared" si="1422"/>
        <v>3.5348845766856762E-2</v>
      </c>
      <c r="J2773" s="4">
        <f t="shared" si="1422"/>
        <v>3.5348845766856762E-2</v>
      </c>
      <c r="K2773" s="4">
        <f t="shared" si="1422"/>
        <v>3.5348845766856762E-2</v>
      </c>
      <c r="L2773" s="4">
        <f t="shared" si="1422"/>
        <v>3.5348845766856762E-2</v>
      </c>
      <c r="M2773" s="4">
        <f t="shared" si="1422"/>
        <v>3.5348845766856762E-2</v>
      </c>
      <c r="N2773" t="s">
        <v>256</v>
      </c>
      <c r="O2773" t="s">
        <v>354</v>
      </c>
      <c r="P2773" t="s">
        <v>424</v>
      </c>
      <c r="Q2773" s="4" t="s">
        <v>245</v>
      </c>
    </row>
    <row r="2774" spans="1:17" x14ac:dyDescent="0.25">
      <c r="A2774" t="s">
        <v>424</v>
      </c>
      <c r="B2774" t="s">
        <v>165</v>
      </c>
      <c r="C2774" s="4">
        <f t="shared" ref="C2774:M2774" si="1423">(0.0900940072589024/(0.0900940072589024+0.00396421732885982+0.0572052587068733+0.752028927432513)) * 0.0495844485180104%</f>
        <v>4.9455321573156646E-5</v>
      </c>
      <c r="D2774" s="4">
        <f t="shared" si="1423"/>
        <v>4.9455321573156646E-5</v>
      </c>
      <c r="E2774" s="4">
        <f t="shared" si="1423"/>
        <v>4.9455321573156646E-5</v>
      </c>
      <c r="F2774" s="4">
        <f t="shared" si="1423"/>
        <v>4.9455321573156646E-5</v>
      </c>
      <c r="G2774" s="4">
        <f t="shared" si="1423"/>
        <v>4.9455321573156646E-5</v>
      </c>
      <c r="H2774" s="4">
        <f t="shared" si="1423"/>
        <v>4.9455321573156646E-5</v>
      </c>
      <c r="I2774" s="4">
        <f t="shared" si="1423"/>
        <v>4.9455321573156646E-5</v>
      </c>
      <c r="J2774" s="4">
        <f t="shared" si="1423"/>
        <v>4.9455321573156646E-5</v>
      </c>
      <c r="K2774" s="4">
        <f t="shared" si="1423"/>
        <v>4.9455321573156646E-5</v>
      </c>
      <c r="L2774" s="4">
        <f t="shared" si="1423"/>
        <v>4.9455321573156646E-5</v>
      </c>
      <c r="M2774" s="4">
        <f t="shared" si="1423"/>
        <v>4.9455321573156646E-5</v>
      </c>
      <c r="N2774" t="s">
        <v>242</v>
      </c>
      <c r="O2774" t="s">
        <v>358</v>
      </c>
      <c r="P2774" t="s">
        <v>424</v>
      </c>
      <c r="Q2774" s="4" t="s">
        <v>245</v>
      </c>
    </row>
    <row r="2775" spans="1:17" x14ac:dyDescent="0.25">
      <c r="A2775" t="s">
        <v>424</v>
      </c>
      <c r="B2775" t="s">
        <v>165</v>
      </c>
      <c r="C2775" s="4">
        <f t="shared" ref="C2775:M2775" si="1424">(0.00396421732885982/(0.0900940072589024+0.00396421732885982+0.0572052587068733+0.752028927432513))  * 0.0495844485180104%</f>
        <v>2.1760786177625614E-6</v>
      </c>
      <c r="D2775" s="4">
        <f t="shared" si="1424"/>
        <v>2.1760786177625614E-6</v>
      </c>
      <c r="E2775" s="4">
        <f t="shared" si="1424"/>
        <v>2.1760786177625614E-6</v>
      </c>
      <c r="F2775" s="4">
        <f t="shared" si="1424"/>
        <v>2.1760786177625614E-6</v>
      </c>
      <c r="G2775" s="4">
        <f t="shared" si="1424"/>
        <v>2.1760786177625614E-6</v>
      </c>
      <c r="H2775" s="4">
        <f t="shared" si="1424"/>
        <v>2.1760786177625614E-6</v>
      </c>
      <c r="I2775" s="4">
        <f t="shared" si="1424"/>
        <v>2.1760786177625614E-6</v>
      </c>
      <c r="J2775" s="4">
        <f t="shared" si="1424"/>
        <v>2.1760786177625614E-6</v>
      </c>
      <c r="K2775" s="4">
        <f t="shared" si="1424"/>
        <v>2.1760786177625614E-6</v>
      </c>
      <c r="L2775" s="4">
        <f t="shared" si="1424"/>
        <v>2.1760786177625614E-6</v>
      </c>
      <c r="M2775" s="4">
        <f t="shared" si="1424"/>
        <v>2.1760786177625614E-6</v>
      </c>
      <c r="N2775" t="s">
        <v>256</v>
      </c>
      <c r="O2775" t="s">
        <v>353</v>
      </c>
      <c r="P2775" t="s">
        <v>424</v>
      </c>
      <c r="Q2775" s="4" t="s">
        <v>245</v>
      </c>
    </row>
    <row r="2776" spans="1:17" x14ac:dyDescent="0.25">
      <c r="A2776" t="s">
        <v>424</v>
      </c>
      <c r="B2776" t="s">
        <v>165</v>
      </c>
      <c r="C2776" s="4">
        <f t="shared" ref="C2776:M2776" si="1425">(0.0572052587068733/(0.0900940072589024+0.00396421732885982+0.0572052587068733+0.752028927432513)) * 0.0495844485180104%</f>
        <v>3.140169419808427E-5</v>
      </c>
      <c r="D2776" s="4">
        <f t="shared" si="1425"/>
        <v>3.140169419808427E-5</v>
      </c>
      <c r="E2776" s="4">
        <f t="shared" si="1425"/>
        <v>3.140169419808427E-5</v>
      </c>
      <c r="F2776" s="4">
        <f t="shared" si="1425"/>
        <v>3.140169419808427E-5</v>
      </c>
      <c r="G2776" s="4">
        <f t="shared" si="1425"/>
        <v>3.140169419808427E-5</v>
      </c>
      <c r="H2776" s="4">
        <f t="shared" si="1425"/>
        <v>3.140169419808427E-5</v>
      </c>
      <c r="I2776" s="4">
        <f t="shared" si="1425"/>
        <v>3.140169419808427E-5</v>
      </c>
      <c r="J2776" s="4">
        <f t="shared" si="1425"/>
        <v>3.140169419808427E-5</v>
      </c>
      <c r="K2776" s="4">
        <f t="shared" si="1425"/>
        <v>3.140169419808427E-5</v>
      </c>
      <c r="L2776" s="4">
        <f t="shared" si="1425"/>
        <v>3.140169419808427E-5</v>
      </c>
      <c r="M2776" s="4">
        <f t="shared" si="1425"/>
        <v>3.140169419808427E-5</v>
      </c>
      <c r="N2776" t="s">
        <v>256</v>
      </c>
      <c r="O2776" t="s">
        <v>280</v>
      </c>
      <c r="P2776" t="s">
        <v>424</v>
      </c>
      <c r="Q2776" s="4" t="s">
        <v>245</v>
      </c>
    </row>
    <row r="2777" spans="1:17" x14ac:dyDescent="0.25">
      <c r="A2777" t="s">
        <v>424</v>
      </c>
      <c r="B2777" t="s">
        <v>165</v>
      </c>
      <c r="C2777" s="4">
        <f t="shared" ref="C2777:M2777" si="1426">(0.752028927432513/(0.0900940072589024+0.00396421732885982+0.0572052587068733+0.752028927432513)) * 0.0495844485180104%</f>
        <v>4.1281139079110061E-4</v>
      </c>
      <c r="D2777" s="4">
        <f t="shared" si="1426"/>
        <v>4.1281139079110061E-4</v>
      </c>
      <c r="E2777" s="4">
        <f t="shared" si="1426"/>
        <v>4.1281139079110061E-4</v>
      </c>
      <c r="F2777" s="4">
        <f t="shared" si="1426"/>
        <v>4.1281139079110061E-4</v>
      </c>
      <c r="G2777" s="4">
        <f t="shared" si="1426"/>
        <v>4.1281139079110061E-4</v>
      </c>
      <c r="H2777" s="4">
        <f t="shared" si="1426"/>
        <v>4.1281139079110061E-4</v>
      </c>
      <c r="I2777" s="4">
        <f t="shared" si="1426"/>
        <v>4.1281139079110061E-4</v>
      </c>
      <c r="J2777" s="4">
        <f t="shared" si="1426"/>
        <v>4.1281139079110061E-4</v>
      </c>
      <c r="K2777" s="4">
        <f t="shared" si="1426"/>
        <v>4.1281139079110061E-4</v>
      </c>
      <c r="L2777" s="4">
        <f t="shared" si="1426"/>
        <v>4.1281139079110061E-4</v>
      </c>
      <c r="M2777" s="4">
        <f t="shared" si="1426"/>
        <v>4.1281139079110061E-4</v>
      </c>
      <c r="N2777" t="s">
        <v>256</v>
      </c>
      <c r="O2777" t="s">
        <v>354</v>
      </c>
      <c r="P2777" t="s">
        <v>424</v>
      </c>
      <c r="Q2777" s="4" t="s">
        <v>245</v>
      </c>
    </row>
    <row r="2778" spans="1:17" x14ac:dyDescent="0.25">
      <c r="A2778" t="s">
        <v>424</v>
      </c>
      <c r="B2778" t="s">
        <v>85</v>
      </c>
      <c r="C2778" s="4">
        <f t="shared" ref="C2778:M2778" si="1427">(0.0900940072589024/(0.0900940072589024+0.00396421732885982+0.0572052587068733+0.752028927432513)) * 0.226921709837764%</f>
        <v>2.2633076432988566E-4</v>
      </c>
      <c r="D2778" s="4">
        <f t="shared" si="1427"/>
        <v>2.2633076432988566E-4</v>
      </c>
      <c r="E2778" s="4">
        <f t="shared" si="1427"/>
        <v>2.2633076432988566E-4</v>
      </c>
      <c r="F2778" s="4">
        <f t="shared" si="1427"/>
        <v>2.2633076432988566E-4</v>
      </c>
      <c r="G2778" s="4">
        <f t="shared" si="1427"/>
        <v>2.2633076432988566E-4</v>
      </c>
      <c r="H2778" s="4">
        <f t="shared" si="1427"/>
        <v>2.2633076432988566E-4</v>
      </c>
      <c r="I2778" s="4">
        <f t="shared" si="1427"/>
        <v>2.2633076432988566E-4</v>
      </c>
      <c r="J2778" s="4">
        <f t="shared" si="1427"/>
        <v>2.2633076432988566E-4</v>
      </c>
      <c r="K2778" s="4">
        <f t="shared" si="1427"/>
        <v>2.2633076432988566E-4</v>
      </c>
      <c r="L2778" s="4">
        <f t="shared" si="1427"/>
        <v>2.2633076432988566E-4</v>
      </c>
      <c r="M2778" s="4">
        <f t="shared" si="1427"/>
        <v>2.2633076432988566E-4</v>
      </c>
      <c r="N2778" t="s">
        <v>242</v>
      </c>
      <c r="O2778" t="s">
        <v>358</v>
      </c>
      <c r="P2778" t="s">
        <v>424</v>
      </c>
      <c r="Q2778" s="4" t="s">
        <v>245</v>
      </c>
    </row>
    <row r="2779" spans="1:17" x14ac:dyDescent="0.25">
      <c r="A2779" t="s">
        <v>424</v>
      </c>
      <c r="B2779" t="s">
        <v>85</v>
      </c>
      <c r="C2779" s="4">
        <f t="shared" ref="C2779:M2779" si="1428">(0.00396421732885982/(0.0900940072589024+0.00396421732885982+0.0572052587068733+0.752028927432513))  * 0.226921709837764%</f>
        <v>9.9587571394429693E-6</v>
      </c>
      <c r="D2779" s="4">
        <f t="shared" si="1428"/>
        <v>9.9587571394429693E-6</v>
      </c>
      <c r="E2779" s="4">
        <f t="shared" si="1428"/>
        <v>9.9587571394429693E-6</v>
      </c>
      <c r="F2779" s="4">
        <f t="shared" si="1428"/>
        <v>9.9587571394429693E-6</v>
      </c>
      <c r="G2779" s="4">
        <f t="shared" si="1428"/>
        <v>9.9587571394429693E-6</v>
      </c>
      <c r="H2779" s="4">
        <f t="shared" si="1428"/>
        <v>9.9587571394429693E-6</v>
      </c>
      <c r="I2779" s="4">
        <f t="shared" si="1428"/>
        <v>9.9587571394429693E-6</v>
      </c>
      <c r="J2779" s="4">
        <f t="shared" si="1428"/>
        <v>9.9587571394429693E-6</v>
      </c>
      <c r="K2779" s="4">
        <f t="shared" si="1428"/>
        <v>9.9587571394429693E-6</v>
      </c>
      <c r="L2779" s="4">
        <f t="shared" si="1428"/>
        <v>9.9587571394429693E-6</v>
      </c>
      <c r="M2779" s="4">
        <f t="shared" si="1428"/>
        <v>9.9587571394429693E-6</v>
      </c>
      <c r="N2779" t="s">
        <v>256</v>
      </c>
      <c r="O2779" t="s">
        <v>353</v>
      </c>
      <c r="P2779" t="s">
        <v>424</v>
      </c>
      <c r="Q2779" s="4" t="s">
        <v>245</v>
      </c>
    </row>
    <row r="2780" spans="1:17" x14ac:dyDescent="0.25">
      <c r="A2780" t="s">
        <v>424</v>
      </c>
      <c r="B2780" t="s">
        <v>85</v>
      </c>
      <c r="C2780" s="4">
        <f t="shared" ref="C2780:M2780" si="1429">(0.0572052587068733/(0.0900940072589024+0.00396421732885982+0.0572052587068733+0.752028927432513)) * 0.226921709837764%</f>
        <v>1.4370889164258064E-4</v>
      </c>
      <c r="D2780" s="4">
        <f t="shared" si="1429"/>
        <v>1.4370889164258064E-4</v>
      </c>
      <c r="E2780" s="4">
        <f t="shared" si="1429"/>
        <v>1.4370889164258064E-4</v>
      </c>
      <c r="F2780" s="4">
        <f t="shared" si="1429"/>
        <v>1.4370889164258064E-4</v>
      </c>
      <c r="G2780" s="4">
        <f t="shared" si="1429"/>
        <v>1.4370889164258064E-4</v>
      </c>
      <c r="H2780" s="4">
        <f t="shared" si="1429"/>
        <v>1.4370889164258064E-4</v>
      </c>
      <c r="I2780" s="4">
        <f t="shared" si="1429"/>
        <v>1.4370889164258064E-4</v>
      </c>
      <c r="J2780" s="4">
        <f t="shared" si="1429"/>
        <v>1.4370889164258064E-4</v>
      </c>
      <c r="K2780" s="4">
        <f t="shared" si="1429"/>
        <v>1.4370889164258064E-4</v>
      </c>
      <c r="L2780" s="4">
        <f t="shared" si="1429"/>
        <v>1.4370889164258064E-4</v>
      </c>
      <c r="M2780" s="4">
        <f t="shared" si="1429"/>
        <v>1.4370889164258064E-4</v>
      </c>
      <c r="N2780" t="s">
        <v>256</v>
      </c>
      <c r="O2780" t="s">
        <v>280</v>
      </c>
      <c r="P2780" t="s">
        <v>424</v>
      </c>
      <c r="Q2780" s="4" t="s">
        <v>245</v>
      </c>
    </row>
    <row r="2781" spans="1:17" x14ac:dyDescent="0.25">
      <c r="A2781" t="s">
        <v>424</v>
      </c>
      <c r="B2781" t="s">
        <v>85</v>
      </c>
      <c r="C2781" s="4">
        <f t="shared" ref="C2781:M2781" si="1430">(0.752028927432513/(0.0900940072589024+0.00396421732885982+0.0572052587068733+0.752028927432513)) * 0.226921709837764%</f>
        <v>1.8892186852657307E-3</v>
      </c>
      <c r="D2781" s="4">
        <f t="shared" si="1430"/>
        <v>1.8892186852657307E-3</v>
      </c>
      <c r="E2781" s="4">
        <f t="shared" si="1430"/>
        <v>1.8892186852657307E-3</v>
      </c>
      <c r="F2781" s="4">
        <f t="shared" si="1430"/>
        <v>1.8892186852657307E-3</v>
      </c>
      <c r="G2781" s="4">
        <f t="shared" si="1430"/>
        <v>1.8892186852657307E-3</v>
      </c>
      <c r="H2781" s="4">
        <f t="shared" si="1430"/>
        <v>1.8892186852657307E-3</v>
      </c>
      <c r="I2781" s="4">
        <f t="shared" si="1430"/>
        <v>1.8892186852657307E-3</v>
      </c>
      <c r="J2781" s="4">
        <f t="shared" si="1430"/>
        <v>1.8892186852657307E-3</v>
      </c>
      <c r="K2781" s="4">
        <f t="shared" si="1430"/>
        <v>1.8892186852657307E-3</v>
      </c>
      <c r="L2781" s="4">
        <f t="shared" si="1430"/>
        <v>1.8892186852657307E-3</v>
      </c>
      <c r="M2781" s="4">
        <f t="shared" si="1430"/>
        <v>1.8892186852657307E-3</v>
      </c>
      <c r="N2781" t="s">
        <v>256</v>
      </c>
      <c r="O2781" t="s">
        <v>354</v>
      </c>
      <c r="P2781" t="s">
        <v>424</v>
      </c>
      <c r="Q2781" s="4" t="s">
        <v>245</v>
      </c>
    </row>
    <row r="2782" spans="1:17" x14ac:dyDescent="0.25">
      <c r="A2782" t="s">
        <v>424</v>
      </c>
      <c r="B2782" t="s">
        <v>147</v>
      </c>
      <c r="C2782" s="4">
        <f t="shared" ref="C2782:M2782" si="1431">(0.0900940072589024/(0.0900940072589024+0.00396421732885982+0.0572052587068733+0.752028927432513)) * 0.153100965893873%</f>
        <v>1.5270226306322935E-4</v>
      </c>
      <c r="D2782" s="4">
        <f t="shared" si="1431"/>
        <v>1.5270226306322935E-4</v>
      </c>
      <c r="E2782" s="4">
        <f t="shared" si="1431"/>
        <v>1.5270226306322935E-4</v>
      </c>
      <c r="F2782" s="4">
        <f t="shared" si="1431"/>
        <v>1.5270226306322935E-4</v>
      </c>
      <c r="G2782" s="4">
        <f t="shared" si="1431"/>
        <v>1.5270226306322935E-4</v>
      </c>
      <c r="H2782" s="4">
        <f t="shared" si="1431"/>
        <v>1.5270226306322935E-4</v>
      </c>
      <c r="I2782" s="4">
        <f t="shared" si="1431"/>
        <v>1.5270226306322935E-4</v>
      </c>
      <c r="J2782" s="4">
        <f t="shared" si="1431"/>
        <v>1.5270226306322935E-4</v>
      </c>
      <c r="K2782" s="4">
        <f t="shared" si="1431"/>
        <v>1.5270226306322935E-4</v>
      </c>
      <c r="L2782" s="4">
        <f t="shared" si="1431"/>
        <v>1.5270226306322935E-4</v>
      </c>
      <c r="M2782" s="4">
        <f t="shared" si="1431"/>
        <v>1.5270226306322935E-4</v>
      </c>
      <c r="N2782" t="s">
        <v>242</v>
      </c>
      <c r="O2782" t="s">
        <v>358</v>
      </c>
      <c r="P2782" t="s">
        <v>424</v>
      </c>
      <c r="Q2782" s="4" t="s">
        <v>245</v>
      </c>
    </row>
    <row r="2783" spans="1:17" x14ac:dyDescent="0.25">
      <c r="A2783" t="s">
        <v>424</v>
      </c>
      <c r="B2783" t="s">
        <v>147</v>
      </c>
      <c r="C2783" s="4">
        <f t="shared" ref="C2783:M2783" si="1432">(0.00396421732885982/(0.0900940072589024+0.00396421732885982+0.0572052587068733+0.752028927432513))  * 0.153100965893873%</f>
        <v>6.7190368794651338E-6</v>
      </c>
      <c r="D2783" s="4">
        <f t="shared" si="1432"/>
        <v>6.7190368794651338E-6</v>
      </c>
      <c r="E2783" s="4">
        <f t="shared" si="1432"/>
        <v>6.7190368794651338E-6</v>
      </c>
      <c r="F2783" s="4">
        <f t="shared" si="1432"/>
        <v>6.7190368794651338E-6</v>
      </c>
      <c r="G2783" s="4">
        <f t="shared" si="1432"/>
        <v>6.7190368794651338E-6</v>
      </c>
      <c r="H2783" s="4">
        <f t="shared" si="1432"/>
        <v>6.7190368794651338E-6</v>
      </c>
      <c r="I2783" s="4">
        <f t="shared" si="1432"/>
        <v>6.7190368794651338E-6</v>
      </c>
      <c r="J2783" s="4">
        <f t="shared" si="1432"/>
        <v>6.7190368794651338E-6</v>
      </c>
      <c r="K2783" s="4">
        <f t="shared" si="1432"/>
        <v>6.7190368794651338E-6</v>
      </c>
      <c r="L2783" s="4">
        <f t="shared" si="1432"/>
        <v>6.7190368794651338E-6</v>
      </c>
      <c r="M2783" s="4">
        <f t="shared" si="1432"/>
        <v>6.7190368794651338E-6</v>
      </c>
      <c r="N2783" t="s">
        <v>256</v>
      </c>
      <c r="O2783" t="s">
        <v>353</v>
      </c>
      <c r="P2783" t="s">
        <v>424</v>
      </c>
      <c r="Q2783" s="4" t="s">
        <v>245</v>
      </c>
    </row>
    <row r="2784" spans="1:17" x14ac:dyDescent="0.25">
      <c r="A2784" t="s">
        <v>424</v>
      </c>
      <c r="B2784" t="s">
        <v>147</v>
      </c>
      <c r="C2784" s="4">
        <f t="shared" ref="C2784:M2784" si="1433">(0.0572052587068733/(0.0900940072589024+0.00396421732885982+0.0572052587068733+0.752028927432513)) * 0.153100965893873%</f>
        <v>9.6958418538918898E-5</v>
      </c>
      <c r="D2784" s="4">
        <f t="shared" si="1433"/>
        <v>9.6958418538918898E-5</v>
      </c>
      <c r="E2784" s="4">
        <f t="shared" si="1433"/>
        <v>9.6958418538918898E-5</v>
      </c>
      <c r="F2784" s="4">
        <f t="shared" si="1433"/>
        <v>9.6958418538918898E-5</v>
      </c>
      <c r="G2784" s="4">
        <f t="shared" si="1433"/>
        <v>9.6958418538918898E-5</v>
      </c>
      <c r="H2784" s="4">
        <f t="shared" si="1433"/>
        <v>9.6958418538918898E-5</v>
      </c>
      <c r="I2784" s="4">
        <f t="shared" si="1433"/>
        <v>9.6958418538918898E-5</v>
      </c>
      <c r="J2784" s="4">
        <f t="shared" si="1433"/>
        <v>9.6958418538918898E-5</v>
      </c>
      <c r="K2784" s="4">
        <f t="shared" si="1433"/>
        <v>9.6958418538918898E-5</v>
      </c>
      <c r="L2784" s="4">
        <f t="shared" si="1433"/>
        <v>9.6958418538918898E-5</v>
      </c>
      <c r="M2784" s="4">
        <f t="shared" si="1433"/>
        <v>9.6958418538918898E-5</v>
      </c>
      <c r="N2784" t="s">
        <v>256</v>
      </c>
      <c r="O2784" t="s">
        <v>280</v>
      </c>
      <c r="P2784" t="s">
        <v>424</v>
      </c>
      <c r="Q2784" s="4" t="s">
        <v>245</v>
      </c>
    </row>
    <row r="2785" spans="1:17" x14ac:dyDescent="0.25">
      <c r="A2785" t="s">
        <v>424</v>
      </c>
      <c r="B2785" t="s">
        <v>147</v>
      </c>
      <c r="C2785" s="4">
        <f t="shared" ref="C2785:M2785" si="1434">(0.752028927432513/(0.0900940072589024+0.00396421732885982+0.0572052587068733+0.752028927432513)) * 0.153100965893873%</f>
        <v>1.2746299404571167E-3</v>
      </c>
      <c r="D2785" s="4">
        <f t="shared" si="1434"/>
        <v>1.2746299404571167E-3</v>
      </c>
      <c r="E2785" s="4">
        <f t="shared" si="1434"/>
        <v>1.2746299404571167E-3</v>
      </c>
      <c r="F2785" s="4">
        <f t="shared" si="1434"/>
        <v>1.2746299404571167E-3</v>
      </c>
      <c r="G2785" s="4">
        <f t="shared" si="1434"/>
        <v>1.2746299404571167E-3</v>
      </c>
      <c r="H2785" s="4">
        <f t="shared" si="1434"/>
        <v>1.2746299404571167E-3</v>
      </c>
      <c r="I2785" s="4">
        <f t="shared" si="1434"/>
        <v>1.2746299404571167E-3</v>
      </c>
      <c r="J2785" s="4">
        <f t="shared" si="1434"/>
        <v>1.2746299404571167E-3</v>
      </c>
      <c r="K2785" s="4">
        <f t="shared" si="1434"/>
        <v>1.2746299404571167E-3</v>
      </c>
      <c r="L2785" s="4">
        <f t="shared" si="1434"/>
        <v>1.2746299404571167E-3</v>
      </c>
      <c r="M2785" s="4">
        <f t="shared" si="1434"/>
        <v>1.2746299404571167E-3</v>
      </c>
      <c r="N2785" t="s">
        <v>256</v>
      </c>
      <c r="O2785" t="s">
        <v>354</v>
      </c>
      <c r="P2785" t="s">
        <v>424</v>
      </c>
      <c r="Q2785" s="4" t="s">
        <v>245</v>
      </c>
    </row>
    <row r="2786" spans="1:17" x14ac:dyDescent="0.25">
      <c r="A2786" t="s">
        <v>424</v>
      </c>
      <c r="B2786" t="s">
        <v>186</v>
      </c>
      <c r="C2786" s="4">
        <f t="shared" ref="C2786:M2786" si="1435">(0.0900940072589024/(0.0900940072589024+0.00396421732885982+0.0572052587068733+0.752028927432513)) * 0.0312729233493104%</f>
        <v>3.1191482954802926E-5</v>
      </c>
      <c r="D2786" s="4">
        <f t="shared" si="1435"/>
        <v>3.1191482954802926E-5</v>
      </c>
      <c r="E2786" s="4">
        <f t="shared" si="1435"/>
        <v>3.1191482954802926E-5</v>
      </c>
      <c r="F2786" s="4">
        <f t="shared" si="1435"/>
        <v>3.1191482954802926E-5</v>
      </c>
      <c r="G2786" s="4">
        <f t="shared" si="1435"/>
        <v>3.1191482954802926E-5</v>
      </c>
      <c r="H2786" s="4">
        <f t="shared" si="1435"/>
        <v>3.1191482954802926E-5</v>
      </c>
      <c r="I2786" s="4">
        <f t="shared" si="1435"/>
        <v>3.1191482954802926E-5</v>
      </c>
      <c r="J2786" s="4">
        <f t="shared" si="1435"/>
        <v>3.1191482954802926E-5</v>
      </c>
      <c r="K2786" s="4">
        <f t="shared" si="1435"/>
        <v>3.1191482954802926E-5</v>
      </c>
      <c r="L2786" s="4">
        <f t="shared" si="1435"/>
        <v>3.1191482954802926E-5</v>
      </c>
      <c r="M2786" s="4">
        <f t="shared" si="1435"/>
        <v>3.1191482954802926E-5</v>
      </c>
      <c r="N2786" t="s">
        <v>242</v>
      </c>
      <c r="O2786" t="s">
        <v>358</v>
      </c>
      <c r="P2786" t="s">
        <v>424</v>
      </c>
      <c r="Q2786" s="4" t="s">
        <v>245</v>
      </c>
    </row>
    <row r="2787" spans="1:17" x14ac:dyDescent="0.25">
      <c r="A2787" t="s">
        <v>424</v>
      </c>
      <c r="B2787" t="s">
        <v>186</v>
      </c>
      <c r="C2787" s="4">
        <f t="shared" ref="C2787:M2787" si="1436">(0.00396421732885982/(0.0900940072589024+0.00396421732885982+0.0572052587068733+0.752028927432513))  * 0.0312729233493104%</f>
        <v>1.3724532963322857E-6</v>
      </c>
      <c r="D2787" s="4">
        <f t="shared" si="1436"/>
        <v>1.3724532963322857E-6</v>
      </c>
      <c r="E2787" s="4">
        <f t="shared" si="1436"/>
        <v>1.3724532963322857E-6</v>
      </c>
      <c r="F2787" s="4">
        <f t="shared" si="1436"/>
        <v>1.3724532963322857E-6</v>
      </c>
      <c r="G2787" s="4">
        <f t="shared" si="1436"/>
        <v>1.3724532963322857E-6</v>
      </c>
      <c r="H2787" s="4">
        <f t="shared" si="1436"/>
        <v>1.3724532963322857E-6</v>
      </c>
      <c r="I2787" s="4">
        <f t="shared" si="1436"/>
        <v>1.3724532963322857E-6</v>
      </c>
      <c r="J2787" s="4">
        <f t="shared" si="1436"/>
        <v>1.3724532963322857E-6</v>
      </c>
      <c r="K2787" s="4">
        <f t="shared" si="1436"/>
        <v>1.3724532963322857E-6</v>
      </c>
      <c r="L2787" s="4">
        <f t="shared" si="1436"/>
        <v>1.3724532963322857E-6</v>
      </c>
      <c r="M2787" s="4">
        <f t="shared" si="1436"/>
        <v>1.3724532963322857E-6</v>
      </c>
      <c r="N2787" t="s">
        <v>256</v>
      </c>
      <c r="O2787" t="s">
        <v>353</v>
      </c>
      <c r="P2787" t="s">
        <v>424</v>
      </c>
      <c r="Q2787" s="4" t="s">
        <v>245</v>
      </c>
    </row>
    <row r="2788" spans="1:17" x14ac:dyDescent="0.25">
      <c r="A2788" t="s">
        <v>424</v>
      </c>
      <c r="B2788" t="s">
        <v>186</v>
      </c>
      <c r="C2788" s="4">
        <f t="shared" ref="C2788:M2788" si="1437">(0.0572052587068733/(0.0900940072589024+0.00396421732885982+0.0572052587068733+0.752028927432513)) * 0.0312729233493104%</f>
        <v>1.9805055920677981E-5</v>
      </c>
      <c r="D2788" s="4">
        <f t="shared" si="1437"/>
        <v>1.9805055920677981E-5</v>
      </c>
      <c r="E2788" s="4">
        <f t="shared" si="1437"/>
        <v>1.9805055920677981E-5</v>
      </c>
      <c r="F2788" s="4">
        <f t="shared" si="1437"/>
        <v>1.9805055920677981E-5</v>
      </c>
      <c r="G2788" s="4">
        <f t="shared" si="1437"/>
        <v>1.9805055920677981E-5</v>
      </c>
      <c r="H2788" s="4">
        <f t="shared" si="1437"/>
        <v>1.9805055920677981E-5</v>
      </c>
      <c r="I2788" s="4">
        <f t="shared" si="1437"/>
        <v>1.9805055920677981E-5</v>
      </c>
      <c r="J2788" s="4">
        <f t="shared" si="1437"/>
        <v>1.9805055920677981E-5</v>
      </c>
      <c r="K2788" s="4">
        <f t="shared" si="1437"/>
        <v>1.9805055920677981E-5</v>
      </c>
      <c r="L2788" s="4">
        <f t="shared" si="1437"/>
        <v>1.9805055920677981E-5</v>
      </c>
      <c r="M2788" s="4">
        <f t="shared" si="1437"/>
        <v>1.9805055920677981E-5</v>
      </c>
      <c r="N2788" t="s">
        <v>256</v>
      </c>
      <c r="O2788" t="s">
        <v>280</v>
      </c>
      <c r="P2788" t="s">
        <v>424</v>
      </c>
      <c r="Q2788" s="4" t="s">
        <v>245</v>
      </c>
    </row>
    <row r="2789" spans="1:17" x14ac:dyDescent="0.25">
      <c r="A2789" t="s">
        <v>424</v>
      </c>
      <c r="B2789" t="s">
        <v>186</v>
      </c>
      <c r="C2789" s="4">
        <f t="shared" ref="C2789:M2789" si="1438">(0.752028927432513/(0.0900940072589024+0.00396421732885982+0.0572052587068733+0.752028927432513)) * 0.0312729233493104%</f>
        <v>2.6036024132129081E-4</v>
      </c>
      <c r="D2789" s="4">
        <f t="shared" si="1438"/>
        <v>2.6036024132129081E-4</v>
      </c>
      <c r="E2789" s="4">
        <f t="shared" si="1438"/>
        <v>2.6036024132129081E-4</v>
      </c>
      <c r="F2789" s="4">
        <f t="shared" si="1438"/>
        <v>2.6036024132129081E-4</v>
      </c>
      <c r="G2789" s="4">
        <f t="shared" si="1438"/>
        <v>2.6036024132129081E-4</v>
      </c>
      <c r="H2789" s="4">
        <f t="shared" si="1438"/>
        <v>2.6036024132129081E-4</v>
      </c>
      <c r="I2789" s="4">
        <f t="shared" si="1438"/>
        <v>2.6036024132129081E-4</v>
      </c>
      <c r="J2789" s="4">
        <f t="shared" si="1438"/>
        <v>2.6036024132129081E-4</v>
      </c>
      <c r="K2789" s="4">
        <f t="shared" si="1438"/>
        <v>2.6036024132129081E-4</v>
      </c>
      <c r="L2789" s="4">
        <f t="shared" si="1438"/>
        <v>2.6036024132129081E-4</v>
      </c>
      <c r="M2789" s="4">
        <f t="shared" si="1438"/>
        <v>2.6036024132129081E-4</v>
      </c>
      <c r="N2789" t="s">
        <v>256</v>
      </c>
      <c r="O2789" t="s">
        <v>354</v>
      </c>
      <c r="P2789" t="s">
        <v>424</v>
      </c>
      <c r="Q2789" s="4" t="s">
        <v>245</v>
      </c>
    </row>
    <row r="2790" spans="1:17" x14ac:dyDescent="0.25">
      <c r="A2790" t="s">
        <v>424</v>
      </c>
      <c r="B2790" t="s">
        <v>116</v>
      </c>
      <c r="C2790" s="4">
        <v>1.3383720618922649E-2</v>
      </c>
      <c r="D2790" s="4">
        <v>1.3383720618922649E-2</v>
      </c>
      <c r="E2790" s="4">
        <v>1.3383720618922649E-2</v>
      </c>
      <c r="F2790" s="4">
        <v>1.3383720618922649E-2</v>
      </c>
      <c r="G2790" s="4">
        <v>1.3383720618922649E-2</v>
      </c>
      <c r="H2790" s="4">
        <v>1.3383720618922649E-2</v>
      </c>
      <c r="I2790" s="4">
        <v>1.3383720618922649E-2</v>
      </c>
      <c r="J2790" s="4">
        <v>1.3383720618922649E-2</v>
      </c>
      <c r="K2790" s="4">
        <v>1.3383720618922649E-2</v>
      </c>
      <c r="L2790" s="4">
        <v>1.3383720618922649E-2</v>
      </c>
      <c r="M2790" s="4">
        <v>1.3383720618922649E-2</v>
      </c>
      <c r="N2790" t="s">
        <v>288</v>
      </c>
      <c r="O2790" t="s">
        <v>353</v>
      </c>
      <c r="P2790" t="s">
        <v>424</v>
      </c>
      <c r="Q2790" s="4" t="s">
        <v>245</v>
      </c>
    </row>
    <row r="2791" spans="1:17" x14ac:dyDescent="0.25">
      <c r="A2791" t="s">
        <v>424</v>
      </c>
      <c r="B2791" t="s">
        <v>145</v>
      </c>
      <c r="C2791" s="4">
        <v>5.1057201238634387E-2</v>
      </c>
      <c r="D2791" s="4">
        <v>5.1057201238634387E-2</v>
      </c>
      <c r="E2791" s="4">
        <v>5.1057201238634387E-2</v>
      </c>
      <c r="F2791" s="4">
        <v>5.1057201238634387E-2</v>
      </c>
      <c r="G2791" s="4">
        <v>5.1057201238634387E-2</v>
      </c>
      <c r="H2791" s="4">
        <v>5.1057201238634387E-2</v>
      </c>
      <c r="I2791" s="4">
        <v>5.1057201238634387E-2</v>
      </c>
      <c r="J2791" s="4">
        <v>5.1057201238634387E-2</v>
      </c>
      <c r="K2791" s="4">
        <v>5.1057201238634387E-2</v>
      </c>
      <c r="L2791" s="4">
        <v>5.1057201238634387E-2</v>
      </c>
      <c r="M2791" s="4">
        <v>5.1057201238634387E-2</v>
      </c>
      <c r="N2791" t="s">
        <v>311</v>
      </c>
      <c r="O2791" t="s">
        <v>354</v>
      </c>
      <c r="P2791" t="s">
        <v>424</v>
      </c>
      <c r="Q2791" s="4" t="s">
        <v>245</v>
      </c>
    </row>
    <row r="2792" spans="1:17" x14ac:dyDescent="0.25">
      <c r="A2792" t="s">
        <v>424</v>
      </c>
      <c r="B2792" t="s">
        <v>86</v>
      </c>
      <c r="C2792" s="4">
        <f t="shared" ref="C2792:M2792" si="1439">(0.0900940072589024/(0.0900940072589024+0.00396421732885982+0.0572052587068733+0.752028927432513)) * 12.7714921573156%</f>
        <v>1.273823286306533E-2</v>
      </c>
      <c r="D2792" s="4">
        <f t="shared" si="1439"/>
        <v>1.273823286306533E-2</v>
      </c>
      <c r="E2792" s="4">
        <f t="shared" si="1439"/>
        <v>1.273823286306533E-2</v>
      </c>
      <c r="F2792" s="4">
        <f t="shared" si="1439"/>
        <v>1.273823286306533E-2</v>
      </c>
      <c r="G2792" s="4">
        <f t="shared" si="1439"/>
        <v>1.273823286306533E-2</v>
      </c>
      <c r="H2792" s="4">
        <f t="shared" si="1439"/>
        <v>1.273823286306533E-2</v>
      </c>
      <c r="I2792" s="4">
        <f t="shared" si="1439"/>
        <v>1.273823286306533E-2</v>
      </c>
      <c r="J2792" s="4">
        <f t="shared" si="1439"/>
        <v>1.273823286306533E-2</v>
      </c>
      <c r="K2792" s="4">
        <f t="shared" si="1439"/>
        <v>1.273823286306533E-2</v>
      </c>
      <c r="L2792" s="4">
        <f t="shared" si="1439"/>
        <v>1.273823286306533E-2</v>
      </c>
      <c r="M2792" s="4">
        <f t="shared" si="1439"/>
        <v>1.273823286306533E-2</v>
      </c>
      <c r="N2792" t="s">
        <v>242</v>
      </c>
      <c r="O2792" t="s">
        <v>358</v>
      </c>
      <c r="P2792" t="s">
        <v>424</v>
      </c>
      <c r="Q2792" s="4" t="s">
        <v>245</v>
      </c>
    </row>
    <row r="2793" spans="1:17" x14ac:dyDescent="0.25">
      <c r="A2793" t="s">
        <v>424</v>
      </c>
      <c r="B2793" t="s">
        <v>86</v>
      </c>
      <c r="C2793" s="4">
        <f t="shared" ref="C2793:M2793" si="1440">(0.00396421732885982/(0.0900940072589024+0.00396421732885982+0.0572052587068733+0.752028927432513))  * 12.7714921573156%</f>
        <v>5.604936997607628E-4</v>
      </c>
      <c r="D2793" s="4">
        <f t="shared" si="1440"/>
        <v>5.604936997607628E-4</v>
      </c>
      <c r="E2793" s="4">
        <f t="shared" si="1440"/>
        <v>5.604936997607628E-4</v>
      </c>
      <c r="F2793" s="4">
        <f t="shared" si="1440"/>
        <v>5.604936997607628E-4</v>
      </c>
      <c r="G2793" s="4">
        <f t="shared" si="1440"/>
        <v>5.604936997607628E-4</v>
      </c>
      <c r="H2793" s="4">
        <f t="shared" si="1440"/>
        <v>5.604936997607628E-4</v>
      </c>
      <c r="I2793" s="4">
        <f t="shared" si="1440"/>
        <v>5.604936997607628E-4</v>
      </c>
      <c r="J2793" s="4">
        <f t="shared" si="1440"/>
        <v>5.604936997607628E-4</v>
      </c>
      <c r="K2793" s="4">
        <f t="shared" si="1440"/>
        <v>5.604936997607628E-4</v>
      </c>
      <c r="L2793" s="4">
        <f t="shared" si="1440"/>
        <v>5.604936997607628E-4</v>
      </c>
      <c r="M2793" s="4">
        <f t="shared" si="1440"/>
        <v>5.604936997607628E-4</v>
      </c>
      <c r="N2793" t="s">
        <v>256</v>
      </c>
      <c r="O2793" t="s">
        <v>353</v>
      </c>
      <c r="P2793" t="s">
        <v>424</v>
      </c>
      <c r="Q2793" s="4" t="s">
        <v>245</v>
      </c>
    </row>
    <row r="2794" spans="1:17" x14ac:dyDescent="0.25">
      <c r="A2794" t="s">
        <v>424</v>
      </c>
      <c r="B2794" t="s">
        <v>86</v>
      </c>
      <c r="C2794" s="4">
        <f t="shared" ref="C2794:M2794" si="1441">(0.0572052587068733/(0.0900940072589024+0.00396421732885982+0.0572052587068733+0.752028927432513)) * 12.7714921573156%</f>
        <v>8.0881506836076884E-3</v>
      </c>
      <c r="D2794" s="4">
        <f t="shared" si="1441"/>
        <v>8.0881506836076884E-3</v>
      </c>
      <c r="E2794" s="4">
        <f t="shared" si="1441"/>
        <v>8.0881506836076884E-3</v>
      </c>
      <c r="F2794" s="4">
        <f t="shared" si="1441"/>
        <v>8.0881506836076884E-3</v>
      </c>
      <c r="G2794" s="4">
        <f t="shared" si="1441"/>
        <v>8.0881506836076884E-3</v>
      </c>
      <c r="H2794" s="4">
        <f t="shared" si="1441"/>
        <v>8.0881506836076884E-3</v>
      </c>
      <c r="I2794" s="4">
        <f t="shared" si="1441"/>
        <v>8.0881506836076884E-3</v>
      </c>
      <c r="J2794" s="4">
        <f t="shared" si="1441"/>
        <v>8.0881506836076884E-3</v>
      </c>
      <c r="K2794" s="4">
        <f t="shared" si="1441"/>
        <v>8.0881506836076884E-3</v>
      </c>
      <c r="L2794" s="4">
        <f t="shared" si="1441"/>
        <v>8.0881506836076884E-3</v>
      </c>
      <c r="M2794" s="4">
        <f t="shared" si="1441"/>
        <v>8.0881506836076884E-3</v>
      </c>
      <c r="N2794" t="s">
        <v>256</v>
      </c>
      <c r="O2794" t="s">
        <v>280</v>
      </c>
      <c r="P2794" t="s">
        <v>424</v>
      </c>
      <c r="Q2794" s="4" t="s">
        <v>245</v>
      </c>
    </row>
    <row r="2795" spans="1:17" x14ac:dyDescent="0.25">
      <c r="A2795" t="s">
        <v>424</v>
      </c>
      <c r="B2795" t="s">
        <v>86</v>
      </c>
      <c r="C2795" s="4">
        <f t="shared" ref="C2795:M2795" si="1442">(0.752028927432513/(0.0900940072589024+0.00396421732885982+0.0572052587068733+0.752028927432513)) * 12.7714921573156%</f>
        <v>0.10632804432672223</v>
      </c>
      <c r="D2795" s="4">
        <f t="shared" si="1442"/>
        <v>0.10632804432672223</v>
      </c>
      <c r="E2795" s="4">
        <f t="shared" si="1442"/>
        <v>0.10632804432672223</v>
      </c>
      <c r="F2795" s="4">
        <f t="shared" si="1442"/>
        <v>0.10632804432672223</v>
      </c>
      <c r="G2795" s="4">
        <f t="shared" si="1442"/>
        <v>0.10632804432672223</v>
      </c>
      <c r="H2795" s="4">
        <f t="shared" si="1442"/>
        <v>0.10632804432672223</v>
      </c>
      <c r="I2795" s="4">
        <f t="shared" si="1442"/>
        <v>0.10632804432672223</v>
      </c>
      <c r="J2795" s="4">
        <f t="shared" si="1442"/>
        <v>0.10632804432672223</v>
      </c>
      <c r="K2795" s="4">
        <f t="shared" si="1442"/>
        <v>0.10632804432672223</v>
      </c>
      <c r="L2795" s="4">
        <f t="shared" si="1442"/>
        <v>0.10632804432672223</v>
      </c>
      <c r="M2795" s="4">
        <f t="shared" si="1442"/>
        <v>0.10632804432672223</v>
      </c>
      <c r="N2795" t="s">
        <v>256</v>
      </c>
      <c r="O2795" t="s">
        <v>354</v>
      </c>
      <c r="P2795" t="s">
        <v>424</v>
      </c>
      <c r="Q2795" s="4" t="s">
        <v>245</v>
      </c>
    </row>
    <row r="2796" spans="1:17" x14ac:dyDescent="0.25">
      <c r="A2796" t="s">
        <v>424</v>
      </c>
      <c r="B2796" t="s">
        <v>87</v>
      </c>
      <c r="C2796" s="4">
        <f t="shared" ref="C2796:M2796" si="1443">(0.0900940072589024/(0.0900940072589024+0.00396421732885982+0.0572052587068733+0.752028927432513)) * 0.0661661726838398%</f>
        <v>6.5993863905852132E-5</v>
      </c>
      <c r="D2796" s="4">
        <f t="shared" si="1443"/>
        <v>6.5993863905852132E-5</v>
      </c>
      <c r="E2796" s="4">
        <f t="shared" si="1443"/>
        <v>6.5993863905852132E-5</v>
      </c>
      <c r="F2796" s="4">
        <f t="shared" si="1443"/>
        <v>6.5993863905852132E-5</v>
      </c>
      <c r="G2796" s="4">
        <f t="shared" si="1443"/>
        <v>6.5993863905852132E-5</v>
      </c>
      <c r="H2796" s="4">
        <f t="shared" si="1443"/>
        <v>6.5993863905852132E-5</v>
      </c>
      <c r="I2796" s="4">
        <f t="shared" si="1443"/>
        <v>6.5993863905852132E-5</v>
      </c>
      <c r="J2796" s="4">
        <f t="shared" si="1443"/>
        <v>6.5993863905852132E-5</v>
      </c>
      <c r="K2796" s="4">
        <f t="shared" si="1443"/>
        <v>6.5993863905852132E-5</v>
      </c>
      <c r="L2796" s="4">
        <f t="shared" si="1443"/>
        <v>6.5993863905852132E-5</v>
      </c>
      <c r="M2796" s="4">
        <f t="shared" si="1443"/>
        <v>6.5993863905852132E-5</v>
      </c>
      <c r="N2796" t="s">
        <v>242</v>
      </c>
      <c r="O2796" t="s">
        <v>358</v>
      </c>
      <c r="P2796" t="s">
        <v>424</v>
      </c>
      <c r="Q2796" s="4" t="s">
        <v>245</v>
      </c>
    </row>
    <row r="2797" spans="1:17" x14ac:dyDescent="0.25">
      <c r="A2797" t="s">
        <v>424</v>
      </c>
      <c r="B2797" t="s">
        <v>87</v>
      </c>
      <c r="C2797" s="4">
        <f t="shared" ref="C2797:M2797" si="1444">(0.00396421732885982/(0.0900940072589024+0.00396421732885982+0.0572052587068733+0.752028927432513))  * 0.0661661726838398%</f>
        <v>2.9037893512961152E-6</v>
      </c>
      <c r="D2797" s="4">
        <f t="shared" si="1444"/>
        <v>2.9037893512961152E-6</v>
      </c>
      <c r="E2797" s="4">
        <f t="shared" si="1444"/>
        <v>2.9037893512961152E-6</v>
      </c>
      <c r="F2797" s="4">
        <f t="shared" si="1444"/>
        <v>2.9037893512961152E-6</v>
      </c>
      <c r="G2797" s="4">
        <f t="shared" si="1444"/>
        <v>2.9037893512961152E-6</v>
      </c>
      <c r="H2797" s="4">
        <f t="shared" si="1444"/>
        <v>2.9037893512961152E-6</v>
      </c>
      <c r="I2797" s="4">
        <f t="shared" si="1444"/>
        <v>2.9037893512961152E-6</v>
      </c>
      <c r="J2797" s="4">
        <f t="shared" si="1444"/>
        <v>2.9037893512961152E-6</v>
      </c>
      <c r="K2797" s="4">
        <f t="shared" si="1444"/>
        <v>2.9037893512961152E-6</v>
      </c>
      <c r="L2797" s="4">
        <f t="shared" si="1444"/>
        <v>2.9037893512961152E-6</v>
      </c>
      <c r="M2797" s="4">
        <f t="shared" si="1444"/>
        <v>2.9037893512961152E-6</v>
      </c>
      <c r="N2797" t="s">
        <v>256</v>
      </c>
      <c r="O2797" t="s">
        <v>353</v>
      </c>
      <c r="P2797" t="s">
        <v>424</v>
      </c>
      <c r="Q2797" s="4" t="s">
        <v>245</v>
      </c>
    </row>
    <row r="2798" spans="1:17" x14ac:dyDescent="0.25">
      <c r="A2798" t="s">
        <v>424</v>
      </c>
      <c r="B2798" t="s">
        <v>87</v>
      </c>
      <c r="C2798" s="4">
        <f t="shared" ref="C2798:M2798" si="1445">(0.0572052587068733/(0.0900940072589024+0.00396421732885982+0.0572052587068733+0.752028927432513)) * 0.0661661726838398%</f>
        <v>4.1902854281436382E-5</v>
      </c>
      <c r="D2798" s="4">
        <f t="shared" si="1445"/>
        <v>4.1902854281436382E-5</v>
      </c>
      <c r="E2798" s="4">
        <f t="shared" si="1445"/>
        <v>4.1902854281436382E-5</v>
      </c>
      <c r="F2798" s="4">
        <f t="shared" si="1445"/>
        <v>4.1902854281436382E-5</v>
      </c>
      <c r="G2798" s="4">
        <f t="shared" si="1445"/>
        <v>4.1902854281436382E-5</v>
      </c>
      <c r="H2798" s="4">
        <f t="shared" si="1445"/>
        <v>4.1902854281436382E-5</v>
      </c>
      <c r="I2798" s="4">
        <f t="shared" si="1445"/>
        <v>4.1902854281436382E-5</v>
      </c>
      <c r="J2798" s="4">
        <f t="shared" si="1445"/>
        <v>4.1902854281436382E-5</v>
      </c>
      <c r="K2798" s="4">
        <f t="shared" si="1445"/>
        <v>4.1902854281436382E-5</v>
      </c>
      <c r="L2798" s="4">
        <f t="shared" si="1445"/>
        <v>4.1902854281436382E-5</v>
      </c>
      <c r="M2798" s="4">
        <f t="shared" si="1445"/>
        <v>4.1902854281436382E-5</v>
      </c>
      <c r="N2798" t="s">
        <v>256</v>
      </c>
      <c r="O2798" t="s">
        <v>280</v>
      </c>
      <c r="P2798" t="s">
        <v>424</v>
      </c>
      <c r="Q2798" s="4" t="s">
        <v>245</v>
      </c>
    </row>
    <row r="2799" spans="1:17" x14ac:dyDescent="0.25">
      <c r="A2799" t="s">
        <v>424</v>
      </c>
      <c r="B2799" t="s">
        <v>87</v>
      </c>
      <c r="C2799" s="4">
        <f t="shared" ref="C2799:M2799" si="1446">(0.752028927432513/(0.0900940072589024+0.00396421732885982+0.0572052587068733+0.752028927432513)) * 0.0661661726838398%</f>
        <v>5.5086121929981337E-4</v>
      </c>
      <c r="D2799" s="4">
        <f t="shared" si="1446"/>
        <v>5.5086121929981337E-4</v>
      </c>
      <c r="E2799" s="4">
        <f t="shared" si="1446"/>
        <v>5.5086121929981337E-4</v>
      </c>
      <c r="F2799" s="4">
        <f t="shared" si="1446"/>
        <v>5.5086121929981337E-4</v>
      </c>
      <c r="G2799" s="4">
        <f t="shared" si="1446"/>
        <v>5.5086121929981337E-4</v>
      </c>
      <c r="H2799" s="4">
        <f t="shared" si="1446"/>
        <v>5.5086121929981337E-4</v>
      </c>
      <c r="I2799" s="4">
        <f t="shared" si="1446"/>
        <v>5.5086121929981337E-4</v>
      </c>
      <c r="J2799" s="4">
        <f t="shared" si="1446"/>
        <v>5.5086121929981337E-4</v>
      </c>
      <c r="K2799" s="4">
        <f t="shared" si="1446"/>
        <v>5.5086121929981337E-4</v>
      </c>
      <c r="L2799" s="4">
        <f t="shared" si="1446"/>
        <v>5.5086121929981337E-4</v>
      </c>
      <c r="M2799" s="4">
        <f t="shared" si="1446"/>
        <v>5.5086121929981337E-4</v>
      </c>
      <c r="N2799" t="s">
        <v>256</v>
      </c>
      <c r="O2799" t="s">
        <v>354</v>
      </c>
      <c r="P2799" t="s">
        <v>424</v>
      </c>
      <c r="Q2799" s="4" t="s">
        <v>245</v>
      </c>
    </row>
    <row r="2800" spans="1:17" x14ac:dyDescent="0.25">
      <c r="A2800" t="s">
        <v>424</v>
      </c>
      <c r="B2800" t="s">
        <v>159</v>
      </c>
      <c r="C2800" s="4">
        <f t="shared" ref="C2800:M2800" si="1447">(0.0900940072589024/(0.0900940072589024+0.00396421732885982+0.0572052587068733+0.752028927432513)) * 0.012476290644379%</f>
        <v>1.2443800108693581E-5</v>
      </c>
      <c r="D2800" s="4">
        <f t="shared" si="1447"/>
        <v>1.2443800108693581E-5</v>
      </c>
      <c r="E2800" s="4">
        <f t="shared" si="1447"/>
        <v>1.2443800108693581E-5</v>
      </c>
      <c r="F2800" s="4">
        <f t="shared" si="1447"/>
        <v>1.2443800108693581E-5</v>
      </c>
      <c r="G2800" s="4">
        <f t="shared" si="1447"/>
        <v>1.2443800108693581E-5</v>
      </c>
      <c r="H2800" s="4">
        <f t="shared" si="1447"/>
        <v>1.2443800108693581E-5</v>
      </c>
      <c r="I2800" s="4">
        <f t="shared" si="1447"/>
        <v>1.2443800108693581E-5</v>
      </c>
      <c r="J2800" s="4">
        <f t="shared" si="1447"/>
        <v>1.2443800108693581E-5</v>
      </c>
      <c r="K2800" s="4">
        <f t="shared" si="1447"/>
        <v>1.2443800108693581E-5</v>
      </c>
      <c r="L2800" s="4">
        <f t="shared" si="1447"/>
        <v>1.2443800108693581E-5</v>
      </c>
      <c r="M2800" s="4">
        <f t="shared" si="1447"/>
        <v>1.2443800108693581E-5</v>
      </c>
      <c r="N2800" t="s">
        <v>242</v>
      </c>
      <c r="O2800" t="s">
        <v>358</v>
      </c>
      <c r="P2800" t="s">
        <v>424</v>
      </c>
      <c r="Q2800" s="4" t="s">
        <v>245</v>
      </c>
    </row>
    <row r="2801" spans="1:17" x14ac:dyDescent="0.25">
      <c r="A2801" t="s">
        <v>424</v>
      </c>
      <c r="B2801" t="s">
        <v>159</v>
      </c>
      <c r="C2801" s="4">
        <f t="shared" ref="C2801:M2801" si="1448">(0.00396421732885982/(0.0900940072589024+0.00396421732885982+0.0572052587068733+0.752028927432513))  * 0.012476290644379%</f>
        <v>5.4753839382448396E-7</v>
      </c>
      <c r="D2801" s="4">
        <f t="shared" si="1448"/>
        <v>5.4753839382448396E-7</v>
      </c>
      <c r="E2801" s="4">
        <f t="shared" si="1448"/>
        <v>5.4753839382448396E-7</v>
      </c>
      <c r="F2801" s="4">
        <f t="shared" si="1448"/>
        <v>5.4753839382448396E-7</v>
      </c>
      <c r="G2801" s="4">
        <f t="shared" si="1448"/>
        <v>5.4753839382448396E-7</v>
      </c>
      <c r="H2801" s="4">
        <f t="shared" si="1448"/>
        <v>5.4753839382448396E-7</v>
      </c>
      <c r="I2801" s="4">
        <f t="shared" si="1448"/>
        <v>5.4753839382448396E-7</v>
      </c>
      <c r="J2801" s="4">
        <f t="shared" si="1448"/>
        <v>5.4753839382448396E-7</v>
      </c>
      <c r="K2801" s="4">
        <f t="shared" si="1448"/>
        <v>5.4753839382448396E-7</v>
      </c>
      <c r="L2801" s="4">
        <f t="shared" si="1448"/>
        <v>5.4753839382448396E-7</v>
      </c>
      <c r="M2801" s="4">
        <f t="shared" si="1448"/>
        <v>5.4753839382448396E-7</v>
      </c>
      <c r="N2801" t="s">
        <v>256</v>
      </c>
      <c r="O2801" t="s">
        <v>353</v>
      </c>
      <c r="P2801" t="s">
        <v>424</v>
      </c>
      <c r="Q2801" s="4" t="s">
        <v>245</v>
      </c>
    </row>
    <row r="2802" spans="1:17" x14ac:dyDescent="0.25">
      <c r="A2802" t="s">
        <v>424</v>
      </c>
      <c r="B2802" t="s">
        <v>159</v>
      </c>
      <c r="C2802" s="4">
        <f t="shared" ref="C2802:M2802" si="1449">(0.0572052587068733/(0.0900940072589024+0.00396421732885982+0.0572052587068733+0.752028927432513)) * 0.012476290644379%</f>
        <v>7.9012003813837977E-6</v>
      </c>
      <c r="D2802" s="4">
        <f t="shared" si="1449"/>
        <v>7.9012003813837977E-6</v>
      </c>
      <c r="E2802" s="4">
        <f t="shared" si="1449"/>
        <v>7.9012003813837977E-6</v>
      </c>
      <c r="F2802" s="4">
        <f t="shared" si="1449"/>
        <v>7.9012003813837977E-6</v>
      </c>
      <c r="G2802" s="4">
        <f t="shared" si="1449"/>
        <v>7.9012003813837977E-6</v>
      </c>
      <c r="H2802" s="4">
        <f t="shared" si="1449"/>
        <v>7.9012003813837977E-6</v>
      </c>
      <c r="I2802" s="4">
        <f t="shared" si="1449"/>
        <v>7.9012003813837977E-6</v>
      </c>
      <c r="J2802" s="4">
        <f t="shared" si="1449"/>
        <v>7.9012003813837977E-6</v>
      </c>
      <c r="K2802" s="4">
        <f t="shared" si="1449"/>
        <v>7.9012003813837977E-6</v>
      </c>
      <c r="L2802" s="4">
        <f t="shared" si="1449"/>
        <v>7.9012003813837977E-6</v>
      </c>
      <c r="M2802" s="4">
        <f t="shared" si="1449"/>
        <v>7.9012003813837977E-6</v>
      </c>
      <c r="N2802" t="s">
        <v>256</v>
      </c>
      <c r="O2802" t="s">
        <v>280</v>
      </c>
      <c r="P2802" t="s">
        <v>424</v>
      </c>
      <c r="Q2802" s="4" t="s">
        <v>245</v>
      </c>
    </row>
    <row r="2803" spans="1:17" x14ac:dyDescent="0.25">
      <c r="A2803" t="s">
        <v>424</v>
      </c>
      <c r="B2803" t="s">
        <v>159</v>
      </c>
      <c r="C2803" s="4">
        <f t="shared" ref="C2803:M2803" si="1450">(0.752028927432513/(0.0900940072589024+0.00396421732885982+0.0572052587068733+0.752028927432513)) * 0.012476290644379%</f>
        <v>1.0387036755988815E-4</v>
      </c>
      <c r="D2803" s="4">
        <f t="shared" si="1450"/>
        <v>1.0387036755988815E-4</v>
      </c>
      <c r="E2803" s="4">
        <f t="shared" si="1450"/>
        <v>1.0387036755988815E-4</v>
      </c>
      <c r="F2803" s="4">
        <f t="shared" si="1450"/>
        <v>1.0387036755988815E-4</v>
      </c>
      <c r="G2803" s="4">
        <f t="shared" si="1450"/>
        <v>1.0387036755988815E-4</v>
      </c>
      <c r="H2803" s="4">
        <f t="shared" si="1450"/>
        <v>1.0387036755988815E-4</v>
      </c>
      <c r="I2803" s="4">
        <f t="shared" si="1450"/>
        <v>1.0387036755988815E-4</v>
      </c>
      <c r="J2803" s="4">
        <f t="shared" si="1450"/>
        <v>1.0387036755988815E-4</v>
      </c>
      <c r="K2803" s="4">
        <f t="shared" si="1450"/>
        <v>1.0387036755988815E-4</v>
      </c>
      <c r="L2803" s="4">
        <f t="shared" si="1450"/>
        <v>1.0387036755988815E-4</v>
      </c>
      <c r="M2803" s="4">
        <f t="shared" si="1450"/>
        <v>1.0387036755988815E-4</v>
      </c>
      <c r="N2803" t="s">
        <v>256</v>
      </c>
      <c r="O2803" t="s">
        <v>354</v>
      </c>
      <c r="P2803" t="s">
        <v>424</v>
      </c>
      <c r="Q2803" s="4" t="s">
        <v>245</v>
      </c>
    </row>
    <row r="2804" spans="1:17" x14ac:dyDescent="0.25">
      <c r="A2804" t="s">
        <v>424</v>
      </c>
      <c r="B2804" t="s">
        <v>166</v>
      </c>
      <c r="C2804" s="4">
        <f t="shared" ref="C2804:M2804" si="1451">(0.0900940072589024/(0.0900940072589024+0.00396421732885982+0.0572052587068733+0.752028927432513)) * 0.000632621325614981%</f>
        <v>6.3097386433493211E-7</v>
      </c>
      <c r="D2804" s="4">
        <f t="shared" si="1451"/>
        <v>6.3097386433493211E-7</v>
      </c>
      <c r="E2804" s="4">
        <f t="shared" si="1451"/>
        <v>6.3097386433493211E-7</v>
      </c>
      <c r="F2804" s="4">
        <f t="shared" si="1451"/>
        <v>6.3097386433493211E-7</v>
      </c>
      <c r="G2804" s="4">
        <f t="shared" si="1451"/>
        <v>6.3097386433493211E-7</v>
      </c>
      <c r="H2804" s="4">
        <f t="shared" si="1451"/>
        <v>6.3097386433493211E-7</v>
      </c>
      <c r="I2804" s="4">
        <f t="shared" si="1451"/>
        <v>6.3097386433493211E-7</v>
      </c>
      <c r="J2804" s="4">
        <f t="shared" si="1451"/>
        <v>6.3097386433493211E-7</v>
      </c>
      <c r="K2804" s="4">
        <f t="shared" si="1451"/>
        <v>6.3097386433493211E-7</v>
      </c>
      <c r="L2804" s="4">
        <f t="shared" si="1451"/>
        <v>6.3097386433493211E-7</v>
      </c>
      <c r="M2804" s="4">
        <f t="shared" si="1451"/>
        <v>6.3097386433493211E-7</v>
      </c>
      <c r="N2804" t="s">
        <v>242</v>
      </c>
      <c r="O2804" t="s">
        <v>358</v>
      </c>
      <c r="P2804" t="s">
        <v>424</v>
      </c>
      <c r="Q2804" s="4" t="s">
        <v>245</v>
      </c>
    </row>
    <row r="2805" spans="1:17" x14ac:dyDescent="0.25">
      <c r="A2805" t="s">
        <v>424</v>
      </c>
      <c r="B2805" t="s">
        <v>166</v>
      </c>
      <c r="C2805" s="4">
        <f t="shared" ref="C2805:M2805" si="1452">(0.00396421732885982/(0.0900940072589024+0.00396421732885982+0.0572052587068733+0.752028927432513))  * 0.000632621325614981%</f>
        <v>2.7763417380982601E-8</v>
      </c>
      <c r="D2805" s="4">
        <f t="shared" si="1452"/>
        <v>2.7763417380982601E-8</v>
      </c>
      <c r="E2805" s="4">
        <f t="shared" si="1452"/>
        <v>2.7763417380982601E-8</v>
      </c>
      <c r="F2805" s="4">
        <f t="shared" si="1452"/>
        <v>2.7763417380982601E-8</v>
      </c>
      <c r="G2805" s="4">
        <f t="shared" si="1452"/>
        <v>2.7763417380982601E-8</v>
      </c>
      <c r="H2805" s="4">
        <f t="shared" si="1452"/>
        <v>2.7763417380982601E-8</v>
      </c>
      <c r="I2805" s="4">
        <f t="shared" si="1452"/>
        <v>2.7763417380982601E-8</v>
      </c>
      <c r="J2805" s="4">
        <f t="shared" si="1452"/>
        <v>2.7763417380982601E-8</v>
      </c>
      <c r="K2805" s="4">
        <f t="shared" si="1452"/>
        <v>2.7763417380982601E-8</v>
      </c>
      <c r="L2805" s="4">
        <f t="shared" si="1452"/>
        <v>2.7763417380982601E-8</v>
      </c>
      <c r="M2805" s="4">
        <f t="shared" si="1452"/>
        <v>2.7763417380982601E-8</v>
      </c>
      <c r="N2805" t="s">
        <v>256</v>
      </c>
      <c r="O2805" t="s">
        <v>353</v>
      </c>
      <c r="P2805" t="s">
        <v>424</v>
      </c>
      <c r="Q2805" s="4" t="s">
        <v>245</v>
      </c>
    </row>
    <row r="2806" spans="1:17" x14ac:dyDescent="0.25">
      <c r="A2806" t="s">
        <v>424</v>
      </c>
      <c r="B2806" t="s">
        <v>166</v>
      </c>
      <c r="C2806" s="4">
        <f t="shared" ref="C2806:M2806" si="1453">(0.0572052587068733/(0.0900940072589024+0.00396421732885982+0.0572052587068733+0.752028927432513)) * 0.000632621325614981%</f>
        <v>4.0063733698546004E-7</v>
      </c>
      <c r="D2806" s="4">
        <f t="shared" si="1453"/>
        <v>4.0063733698546004E-7</v>
      </c>
      <c r="E2806" s="4">
        <f t="shared" si="1453"/>
        <v>4.0063733698546004E-7</v>
      </c>
      <c r="F2806" s="4">
        <f t="shared" si="1453"/>
        <v>4.0063733698546004E-7</v>
      </c>
      <c r="G2806" s="4">
        <f t="shared" si="1453"/>
        <v>4.0063733698546004E-7</v>
      </c>
      <c r="H2806" s="4">
        <f t="shared" si="1453"/>
        <v>4.0063733698546004E-7</v>
      </c>
      <c r="I2806" s="4">
        <f t="shared" si="1453"/>
        <v>4.0063733698546004E-7</v>
      </c>
      <c r="J2806" s="4">
        <f t="shared" si="1453"/>
        <v>4.0063733698546004E-7</v>
      </c>
      <c r="K2806" s="4">
        <f t="shared" si="1453"/>
        <v>4.0063733698546004E-7</v>
      </c>
      <c r="L2806" s="4">
        <f t="shared" si="1453"/>
        <v>4.0063733698546004E-7</v>
      </c>
      <c r="M2806" s="4">
        <f t="shared" si="1453"/>
        <v>4.0063733698546004E-7</v>
      </c>
      <c r="N2806" t="s">
        <v>256</v>
      </c>
      <c r="O2806" t="s">
        <v>280</v>
      </c>
      <c r="P2806" t="s">
        <v>424</v>
      </c>
      <c r="Q2806" s="4" t="s">
        <v>245</v>
      </c>
    </row>
    <row r="2807" spans="1:17" x14ac:dyDescent="0.25">
      <c r="A2807" t="s">
        <v>424</v>
      </c>
      <c r="B2807" t="s">
        <v>166</v>
      </c>
      <c r="C2807" s="4">
        <f t="shared" ref="C2807:M2807" si="1454">(0.752028927432513/(0.0900940072589024+0.00396421732885982+0.0572052587068733+0.752028927432513)) * 0.000632621325614981%</f>
        <v>5.2668386374484357E-6</v>
      </c>
      <c r="D2807" s="4">
        <f t="shared" si="1454"/>
        <v>5.2668386374484357E-6</v>
      </c>
      <c r="E2807" s="4">
        <f t="shared" si="1454"/>
        <v>5.2668386374484357E-6</v>
      </c>
      <c r="F2807" s="4">
        <f t="shared" si="1454"/>
        <v>5.2668386374484357E-6</v>
      </c>
      <c r="G2807" s="4">
        <f t="shared" si="1454"/>
        <v>5.2668386374484357E-6</v>
      </c>
      <c r="H2807" s="4">
        <f t="shared" si="1454"/>
        <v>5.2668386374484357E-6</v>
      </c>
      <c r="I2807" s="4">
        <f t="shared" si="1454"/>
        <v>5.2668386374484357E-6</v>
      </c>
      <c r="J2807" s="4">
        <f t="shared" si="1454"/>
        <v>5.2668386374484357E-6</v>
      </c>
      <c r="K2807" s="4">
        <f t="shared" si="1454"/>
        <v>5.2668386374484357E-6</v>
      </c>
      <c r="L2807" s="4">
        <f t="shared" si="1454"/>
        <v>5.2668386374484357E-6</v>
      </c>
      <c r="M2807" s="4">
        <f t="shared" si="1454"/>
        <v>5.2668386374484357E-6</v>
      </c>
      <c r="N2807" t="s">
        <v>256</v>
      </c>
      <c r="O2807" t="s">
        <v>354</v>
      </c>
      <c r="P2807" t="s">
        <v>424</v>
      </c>
      <c r="Q2807" s="4" t="s">
        <v>245</v>
      </c>
    </row>
    <row r="2808" spans="1:17" x14ac:dyDescent="0.25">
      <c r="A2808" t="s">
        <v>424</v>
      </c>
      <c r="B2808" t="s">
        <v>89</v>
      </c>
      <c r="C2808" s="4">
        <f t="shared" ref="C2808:M2808" si="1455">(0.0900940072589024/(0.0900940072589024+0.00396421732885982+0.0572052587068733+0.752028927432513)) * 0.436314965219624%</f>
        <v>4.3517872149529736E-4</v>
      </c>
      <c r="D2808" s="4">
        <f t="shared" si="1455"/>
        <v>4.3517872149529736E-4</v>
      </c>
      <c r="E2808" s="4">
        <f t="shared" si="1455"/>
        <v>4.3517872149529736E-4</v>
      </c>
      <c r="F2808" s="4">
        <f t="shared" si="1455"/>
        <v>4.3517872149529736E-4</v>
      </c>
      <c r="G2808" s="4">
        <f t="shared" si="1455"/>
        <v>4.3517872149529736E-4</v>
      </c>
      <c r="H2808" s="4">
        <f t="shared" si="1455"/>
        <v>4.3517872149529736E-4</v>
      </c>
      <c r="I2808" s="4">
        <f t="shared" si="1455"/>
        <v>4.3517872149529736E-4</v>
      </c>
      <c r="J2808" s="4">
        <f t="shared" si="1455"/>
        <v>4.3517872149529736E-4</v>
      </c>
      <c r="K2808" s="4">
        <f t="shared" si="1455"/>
        <v>4.3517872149529736E-4</v>
      </c>
      <c r="L2808" s="4">
        <f t="shared" si="1455"/>
        <v>4.3517872149529736E-4</v>
      </c>
      <c r="M2808" s="4">
        <f t="shared" si="1455"/>
        <v>4.3517872149529736E-4</v>
      </c>
      <c r="N2808" t="s">
        <v>242</v>
      </c>
      <c r="O2808" t="s">
        <v>358</v>
      </c>
      <c r="P2808" t="s">
        <v>424</v>
      </c>
      <c r="Q2808" s="4" t="s">
        <v>245</v>
      </c>
    </row>
    <row r="2809" spans="1:17" x14ac:dyDescent="0.25">
      <c r="A2809" t="s">
        <v>424</v>
      </c>
      <c r="B2809" t="s">
        <v>89</v>
      </c>
      <c r="C2809" s="4">
        <f t="shared" ref="C2809:M2809" si="1456">(0.00396421732885982/(0.0900940072589024+0.00396421732885982+0.0572052587068733+0.752028927432513))  * 0.436314965219624%</f>
        <v>1.91482550437033E-5</v>
      </c>
      <c r="D2809" s="4">
        <f t="shared" si="1456"/>
        <v>1.91482550437033E-5</v>
      </c>
      <c r="E2809" s="4">
        <f t="shared" si="1456"/>
        <v>1.91482550437033E-5</v>
      </c>
      <c r="F2809" s="4">
        <f t="shared" si="1456"/>
        <v>1.91482550437033E-5</v>
      </c>
      <c r="G2809" s="4">
        <f t="shared" si="1456"/>
        <v>1.91482550437033E-5</v>
      </c>
      <c r="H2809" s="4">
        <f t="shared" si="1456"/>
        <v>1.91482550437033E-5</v>
      </c>
      <c r="I2809" s="4">
        <f t="shared" si="1456"/>
        <v>1.91482550437033E-5</v>
      </c>
      <c r="J2809" s="4">
        <f t="shared" si="1456"/>
        <v>1.91482550437033E-5</v>
      </c>
      <c r="K2809" s="4">
        <f t="shared" si="1456"/>
        <v>1.91482550437033E-5</v>
      </c>
      <c r="L2809" s="4">
        <f t="shared" si="1456"/>
        <v>1.91482550437033E-5</v>
      </c>
      <c r="M2809" s="4">
        <f t="shared" si="1456"/>
        <v>1.91482550437033E-5</v>
      </c>
      <c r="N2809" t="s">
        <v>256</v>
      </c>
      <c r="O2809" t="s">
        <v>353</v>
      </c>
      <c r="P2809" t="s">
        <v>424</v>
      </c>
      <c r="Q2809" s="4" t="s">
        <v>245</v>
      </c>
    </row>
    <row r="2810" spans="1:17" x14ac:dyDescent="0.25">
      <c r="A2810" t="s">
        <v>424</v>
      </c>
      <c r="B2810" t="s">
        <v>89</v>
      </c>
      <c r="C2810" s="4">
        <f t="shared" ref="C2810:M2810" si="1457">(0.0572052587068733/(0.0900940072589024+0.00396421732885982+0.0572052587068733+0.752028927432513)) * 0.436314965219624%</f>
        <v>2.7631706152580934E-4</v>
      </c>
      <c r="D2810" s="4">
        <f t="shared" si="1457"/>
        <v>2.7631706152580934E-4</v>
      </c>
      <c r="E2810" s="4">
        <f t="shared" si="1457"/>
        <v>2.7631706152580934E-4</v>
      </c>
      <c r="F2810" s="4">
        <f t="shared" si="1457"/>
        <v>2.7631706152580934E-4</v>
      </c>
      <c r="G2810" s="4">
        <f t="shared" si="1457"/>
        <v>2.7631706152580934E-4</v>
      </c>
      <c r="H2810" s="4">
        <f t="shared" si="1457"/>
        <v>2.7631706152580934E-4</v>
      </c>
      <c r="I2810" s="4">
        <f t="shared" si="1457"/>
        <v>2.7631706152580934E-4</v>
      </c>
      <c r="J2810" s="4">
        <f t="shared" si="1457"/>
        <v>2.7631706152580934E-4</v>
      </c>
      <c r="K2810" s="4">
        <f t="shared" si="1457"/>
        <v>2.7631706152580934E-4</v>
      </c>
      <c r="L2810" s="4">
        <f t="shared" si="1457"/>
        <v>2.7631706152580934E-4</v>
      </c>
      <c r="M2810" s="4">
        <f t="shared" si="1457"/>
        <v>2.7631706152580934E-4</v>
      </c>
      <c r="N2810" t="s">
        <v>256</v>
      </c>
      <c r="O2810" t="s">
        <v>280</v>
      </c>
      <c r="P2810" t="s">
        <v>424</v>
      </c>
      <c r="Q2810" s="4" t="s">
        <v>245</v>
      </c>
    </row>
    <row r="2811" spans="1:17" x14ac:dyDescent="0.25">
      <c r="A2811" t="s">
        <v>424</v>
      </c>
      <c r="B2811" t="s">
        <v>89</v>
      </c>
      <c r="C2811" s="4">
        <f t="shared" ref="C2811:M2811" si="1458">(0.752028927432513/(0.0900940072589024+0.00396421732885982+0.0572052587068733+0.752028927432513)) * 0.436314965219624%</f>
        <v>3.63250561413143E-3</v>
      </c>
      <c r="D2811" s="4">
        <f t="shared" si="1458"/>
        <v>3.63250561413143E-3</v>
      </c>
      <c r="E2811" s="4">
        <f t="shared" si="1458"/>
        <v>3.63250561413143E-3</v>
      </c>
      <c r="F2811" s="4">
        <f t="shared" si="1458"/>
        <v>3.63250561413143E-3</v>
      </c>
      <c r="G2811" s="4">
        <f t="shared" si="1458"/>
        <v>3.63250561413143E-3</v>
      </c>
      <c r="H2811" s="4">
        <f t="shared" si="1458"/>
        <v>3.63250561413143E-3</v>
      </c>
      <c r="I2811" s="4">
        <f t="shared" si="1458"/>
        <v>3.63250561413143E-3</v>
      </c>
      <c r="J2811" s="4">
        <f t="shared" si="1458"/>
        <v>3.63250561413143E-3</v>
      </c>
      <c r="K2811" s="4">
        <f t="shared" si="1458"/>
        <v>3.63250561413143E-3</v>
      </c>
      <c r="L2811" s="4">
        <f t="shared" si="1458"/>
        <v>3.63250561413143E-3</v>
      </c>
      <c r="M2811" s="4">
        <f t="shared" si="1458"/>
        <v>3.63250561413143E-3</v>
      </c>
      <c r="N2811" t="s">
        <v>256</v>
      </c>
      <c r="O2811" t="s">
        <v>354</v>
      </c>
      <c r="P2811" t="s">
        <v>424</v>
      </c>
      <c r="Q2811" s="4" t="s">
        <v>245</v>
      </c>
    </row>
    <row r="2812" spans="1:17" x14ac:dyDescent="0.25">
      <c r="A2812" t="s">
        <v>424</v>
      </c>
      <c r="B2812" t="s">
        <v>167</v>
      </c>
      <c r="C2812" s="4">
        <f t="shared" ref="C2812:M2812" si="1459">(0.0900940072589024/(0.0900940072589024+0.00396421732885982+0.0572052587068733+0.752028927432513)) * 0.00529655232826371%</f>
        <v>5.2827591402612589E-6</v>
      </c>
      <c r="D2812" s="4">
        <f t="shared" si="1459"/>
        <v>5.2827591402612589E-6</v>
      </c>
      <c r="E2812" s="4">
        <f t="shared" si="1459"/>
        <v>5.2827591402612589E-6</v>
      </c>
      <c r="F2812" s="4">
        <f t="shared" si="1459"/>
        <v>5.2827591402612589E-6</v>
      </c>
      <c r="G2812" s="4">
        <f t="shared" si="1459"/>
        <v>5.2827591402612589E-6</v>
      </c>
      <c r="H2812" s="4">
        <f t="shared" si="1459"/>
        <v>5.2827591402612589E-6</v>
      </c>
      <c r="I2812" s="4">
        <f t="shared" si="1459"/>
        <v>5.2827591402612589E-6</v>
      </c>
      <c r="J2812" s="4">
        <f t="shared" si="1459"/>
        <v>5.2827591402612589E-6</v>
      </c>
      <c r="K2812" s="4">
        <f t="shared" si="1459"/>
        <v>5.2827591402612589E-6</v>
      </c>
      <c r="L2812" s="4">
        <f t="shared" si="1459"/>
        <v>5.2827591402612589E-6</v>
      </c>
      <c r="M2812" s="4">
        <f t="shared" si="1459"/>
        <v>5.2827591402612589E-6</v>
      </c>
      <c r="N2812" t="s">
        <v>242</v>
      </c>
      <c r="O2812" t="s">
        <v>358</v>
      </c>
      <c r="P2812" t="s">
        <v>424</v>
      </c>
      <c r="Q2812" s="4" t="s">
        <v>245</v>
      </c>
    </row>
    <row r="2813" spans="1:17" x14ac:dyDescent="0.25">
      <c r="A2813" t="s">
        <v>424</v>
      </c>
      <c r="B2813" t="s">
        <v>167</v>
      </c>
      <c r="C2813" s="4">
        <f t="shared" ref="C2813:M2813" si="1460">(0.00396421732885982/(0.0900940072589024+0.00396421732885982+0.0572052587068733+0.752028927432513))  * 0.00529655232826371%</f>
        <v>2.3244615224889958E-7</v>
      </c>
      <c r="D2813" s="4">
        <f t="shared" si="1460"/>
        <v>2.3244615224889958E-7</v>
      </c>
      <c r="E2813" s="4">
        <f t="shared" si="1460"/>
        <v>2.3244615224889958E-7</v>
      </c>
      <c r="F2813" s="4">
        <f t="shared" si="1460"/>
        <v>2.3244615224889958E-7</v>
      </c>
      <c r="G2813" s="4">
        <f t="shared" si="1460"/>
        <v>2.3244615224889958E-7</v>
      </c>
      <c r="H2813" s="4">
        <f t="shared" si="1460"/>
        <v>2.3244615224889958E-7</v>
      </c>
      <c r="I2813" s="4">
        <f t="shared" si="1460"/>
        <v>2.3244615224889958E-7</v>
      </c>
      <c r="J2813" s="4">
        <f t="shared" si="1460"/>
        <v>2.3244615224889958E-7</v>
      </c>
      <c r="K2813" s="4">
        <f t="shared" si="1460"/>
        <v>2.3244615224889958E-7</v>
      </c>
      <c r="L2813" s="4">
        <f t="shared" si="1460"/>
        <v>2.3244615224889958E-7</v>
      </c>
      <c r="M2813" s="4">
        <f t="shared" si="1460"/>
        <v>2.3244615224889958E-7</v>
      </c>
      <c r="N2813" t="s">
        <v>256</v>
      </c>
      <c r="O2813" t="s">
        <v>353</v>
      </c>
      <c r="P2813" t="s">
        <v>424</v>
      </c>
      <c r="Q2813" s="4" t="s">
        <v>245</v>
      </c>
    </row>
    <row r="2814" spans="1:17" x14ac:dyDescent="0.25">
      <c r="A2814" t="s">
        <v>424</v>
      </c>
      <c r="B2814" t="s">
        <v>167</v>
      </c>
      <c r="C2814" s="4">
        <f t="shared" ref="C2814:M2814" si="1461">(0.0572052587068733/(0.0900940072589024+0.00396421732885982+0.0572052587068733+0.752028927432513)) * 0.00529655232826371%</f>
        <v>3.3542919501439274E-6</v>
      </c>
      <c r="D2814" s="4">
        <f t="shared" si="1461"/>
        <v>3.3542919501439274E-6</v>
      </c>
      <c r="E2814" s="4">
        <f t="shared" si="1461"/>
        <v>3.3542919501439274E-6</v>
      </c>
      <c r="F2814" s="4">
        <f t="shared" si="1461"/>
        <v>3.3542919501439274E-6</v>
      </c>
      <c r="G2814" s="4">
        <f t="shared" si="1461"/>
        <v>3.3542919501439274E-6</v>
      </c>
      <c r="H2814" s="4">
        <f t="shared" si="1461"/>
        <v>3.3542919501439274E-6</v>
      </c>
      <c r="I2814" s="4">
        <f t="shared" si="1461"/>
        <v>3.3542919501439274E-6</v>
      </c>
      <c r="J2814" s="4">
        <f t="shared" si="1461"/>
        <v>3.3542919501439274E-6</v>
      </c>
      <c r="K2814" s="4">
        <f t="shared" si="1461"/>
        <v>3.3542919501439274E-6</v>
      </c>
      <c r="L2814" s="4">
        <f t="shared" si="1461"/>
        <v>3.3542919501439274E-6</v>
      </c>
      <c r="M2814" s="4">
        <f t="shared" si="1461"/>
        <v>3.3542919501439274E-6</v>
      </c>
      <c r="N2814" t="s">
        <v>256</v>
      </c>
      <c r="O2814" t="s">
        <v>280</v>
      </c>
      <c r="P2814" t="s">
        <v>424</v>
      </c>
      <c r="Q2814" s="4" t="s">
        <v>245</v>
      </c>
    </row>
    <row r="2815" spans="1:17" x14ac:dyDescent="0.25">
      <c r="A2815" t="s">
        <v>424</v>
      </c>
      <c r="B2815" t="s">
        <v>167</v>
      </c>
      <c r="C2815" s="4">
        <f t="shared" ref="C2815:M2815" si="1462">(0.752028927432513/(0.0900940072589024+0.00396421732885982+0.0572052587068733+0.752028927432513)) * 0.00529655232826371%</f>
        <v>4.4096026039983022E-5</v>
      </c>
      <c r="D2815" s="4">
        <f t="shared" si="1462"/>
        <v>4.4096026039983022E-5</v>
      </c>
      <c r="E2815" s="4">
        <f t="shared" si="1462"/>
        <v>4.4096026039983022E-5</v>
      </c>
      <c r="F2815" s="4">
        <f t="shared" si="1462"/>
        <v>4.4096026039983022E-5</v>
      </c>
      <c r="G2815" s="4">
        <f t="shared" si="1462"/>
        <v>4.4096026039983022E-5</v>
      </c>
      <c r="H2815" s="4">
        <f t="shared" si="1462"/>
        <v>4.4096026039983022E-5</v>
      </c>
      <c r="I2815" s="4">
        <f t="shared" si="1462"/>
        <v>4.4096026039983022E-5</v>
      </c>
      <c r="J2815" s="4">
        <f t="shared" si="1462"/>
        <v>4.4096026039983022E-5</v>
      </c>
      <c r="K2815" s="4">
        <f t="shared" si="1462"/>
        <v>4.4096026039983022E-5</v>
      </c>
      <c r="L2815" s="4">
        <f t="shared" si="1462"/>
        <v>4.4096026039983022E-5</v>
      </c>
      <c r="M2815" s="4">
        <f t="shared" si="1462"/>
        <v>4.4096026039983022E-5</v>
      </c>
      <c r="N2815" t="s">
        <v>256</v>
      </c>
      <c r="O2815" t="s">
        <v>354</v>
      </c>
      <c r="P2815" t="s">
        <v>424</v>
      </c>
      <c r="Q2815" s="4" t="s">
        <v>245</v>
      </c>
    </row>
    <row r="2816" spans="1:17" x14ac:dyDescent="0.25">
      <c r="A2816" t="s">
        <v>424</v>
      </c>
      <c r="B2816" t="s">
        <v>168</v>
      </c>
      <c r="C2816" s="4">
        <f t="shared" ref="C2816:M2816" si="1463">(0.0900940072589024/(0.0900940072589024+0.00396421732885982+0.0572052587068733+0.752028927432513)) * 0.154805814315454%</f>
        <v>1.5440267174866932E-4</v>
      </c>
      <c r="D2816" s="4">
        <f t="shared" si="1463"/>
        <v>1.5440267174866932E-4</v>
      </c>
      <c r="E2816" s="4">
        <f t="shared" si="1463"/>
        <v>1.5440267174866932E-4</v>
      </c>
      <c r="F2816" s="4">
        <f t="shared" si="1463"/>
        <v>1.5440267174866932E-4</v>
      </c>
      <c r="G2816" s="4">
        <f t="shared" si="1463"/>
        <v>1.5440267174866932E-4</v>
      </c>
      <c r="H2816" s="4">
        <f t="shared" si="1463"/>
        <v>1.5440267174866932E-4</v>
      </c>
      <c r="I2816" s="4">
        <f t="shared" si="1463"/>
        <v>1.5440267174866932E-4</v>
      </c>
      <c r="J2816" s="4">
        <f t="shared" si="1463"/>
        <v>1.5440267174866932E-4</v>
      </c>
      <c r="K2816" s="4">
        <f t="shared" si="1463"/>
        <v>1.5440267174866932E-4</v>
      </c>
      <c r="L2816" s="4">
        <f t="shared" si="1463"/>
        <v>1.5440267174866932E-4</v>
      </c>
      <c r="M2816" s="4">
        <f t="shared" si="1463"/>
        <v>1.5440267174866932E-4</v>
      </c>
      <c r="N2816" t="s">
        <v>242</v>
      </c>
      <c r="O2816" t="s">
        <v>358</v>
      </c>
      <c r="P2816" t="s">
        <v>424</v>
      </c>
      <c r="Q2816" s="4" t="s">
        <v>245</v>
      </c>
    </row>
    <row r="2817" spans="1:17" x14ac:dyDescent="0.25">
      <c r="A2817" t="s">
        <v>424</v>
      </c>
      <c r="B2817" t="s">
        <v>168</v>
      </c>
      <c r="C2817" s="4">
        <f t="shared" ref="C2817:M2817" si="1464">(0.00396421732885982/(0.0900940072589024+0.00396421732885982+0.0572052587068733+0.752028927432513))  * 0.154805814315454%</f>
        <v>6.7938563905741688E-6</v>
      </c>
      <c r="D2817" s="4">
        <f t="shared" si="1464"/>
        <v>6.7938563905741688E-6</v>
      </c>
      <c r="E2817" s="4">
        <f t="shared" si="1464"/>
        <v>6.7938563905741688E-6</v>
      </c>
      <c r="F2817" s="4">
        <f t="shared" si="1464"/>
        <v>6.7938563905741688E-6</v>
      </c>
      <c r="G2817" s="4">
        <f t="shared" si="1464"/>
        <v>6.7938563905741688E-6</v>
      </c>
      <c r="H2817" s="4">
        <f t="shared" si="1464"/>
        <v>6.7938563905741688E-6</v>
      </c>
      <c r="I2817" s="4">
        <f t="shared" si="1464"/>
        <v>6.7938563905741688E-6</v>
      </c>
      <c r="J2817" s="4">
        <f t="shared" si="1464"/>
        <v>6.7938563905741688E-6</v>
      </c>
      <c r="K2817" s="4">
        <f t="shared" si="1464"/>
        <v>6.7938563905741688E-6</v>
      </c>
      <c r="L2817" s="4">
        <f t="shared" si="1464"/>
        <v>6.7938563905741688E-6</v>
      </c>
      <c r="M2817" s="4">
        <f t="shared" si="1464"/>
        <v>6.7938563905741688E-6</v>
      </c>
      <c r="N2817" t="s">
        <v>256</v>
      </c>
      <c r="O2817" t="s">
        <v>353</v>
      </c>
      <c r="P2817" t="s">
        <v>424</v>
      </c>
      <c r="Q2817" s="4" t="s">
        <v>245</v>
      </c>
    </row>
    <row r="2818" spans="1:17" x14ac:dyDescent="0.25">
      <c r="A2818" t="s">
        <v>424</v>
      </c>
      <c r="B2818" t="s">
        <v>168</v>
      </c>
      <c r="C2818" s="4">
        <f t="shared" ref="C2818:M2818" si="1465">(0.0572052587068733/(0.0900940072589024+0.00396421732885982+0.0572052587068733+0.752028927432513)) * 0.154805814315454%</f>
        <v>9.8038094332209767E-5</v>
      </c>
      <c r="D2818" s="4">
        <f t="shared" si="1465"/>
        <v>9.8038094332209767E-5</v>
      </c>
      <c r="E2818" s="4">
        <f t="shared" si="1465"/>
        <v>9.8038094332209767E-5</v>
      </c>
      <c r="F2818" s="4">
        <f t="shared" si="1465"/>
        <v>9.8038094332209767E-5</v>
      </c>
      <c r="G2818" s="4">
        <f t="shared" si="1465"/>
        <v>9.8038094332209767E-5</v>
      </c>
      <c r="H2818" s="4">
        <f t="shared" si="1465"/>
        <v>9.8038094332209767E-5</v>
      </c>
      <c r="I2818" s="4">
        <f t="shared" si="1465"/>
        <v>9.8038094332209767E-5</v>
      </c>
      <c r="J2818" s="4">
        <f t="shared" si="1465"/>
        <v>9.8038094332209767E-5</v>
      </c>
      <c r="K2818" s="4">
        <f t="shared" si="1465"/>
        <v>9.8038094332209767E-5</v>
      </c>
      <c r="L2818" s="4">
        <f t="shared" si="1465"/>
        <v>9.8038094332209767E-5</v>
      </c>
      <c r="M2818" s="4">
        <f t="shared" si="1465"/>
        <v>9.8038094332209767E-5</v>
      </c>
      <c r="N2818" t="s">
        <v>256</v>
      </c>
      <c r="O2818" t="s">
        <v>280</v>
      </c>
      <c r="P2818" t="s">
        <v>424</v>
      </c>
      <c r="Q2818" s="4" t="s">
        <v>245</v>
      </c>
    </row>
    <row r="2819" spans="1:17" x14ac:dyDescent="0.25">
      <c r="A2819" t="s">
        <v>424</v>
      </c>
      <c r="B2819" t="s">
        <v>168</v>
      </c>
      <c r="C2819" s="4">
        <f t="shared" ref="C2819:M2819" si="1466">(0.752028927432513/(0.0900940072589024+0.00396421732885982+0.0572052587068733+0.752028927432513)) * 0.154805814315454%</f>
        <v>1.2888235206830868E-3</v>
      </c>
      <c r="D2819" s="4">
        <f t="shared" si="1466"/>
        <v>1.2888235206830868E-3</v>
      </c>
      <c r="E2819" s="4">
        <f t="shared" si="1466"/>
        <v>1.2888235206830868E-3</v>
      </c>
      <c r="F2819" s="4">
        <f t="shared" si="1466"/>
        <v>1.2888235206830868E-3</v>
      </c>
      <c r="G2819" s="4">
        <f t="shared" si="1466"/>
        <v>1.2888235206830868E-3</v>
      </c>
      <c r="H2819" s="4">
        <f t="shared" si="1466"/>
        <v>1.2888235206830868E-3</v>
      </c>
      <c r="I2819" s="4">
        <f t="shared" si="1466"/>
        <v>1.2888235206830868E-3</v>
      </c>
      <c r="J2819" s="4">
        <f t="shared" si="1466"/>
        <v>1.2888235206830868E-3</v>
      </c>
      <c r="K2819" s="4">
        <f t="shared" si="1466"/>
        <v>1.2888235206830868E-3</v>
      </c>
      <c r="L2819" s="4">
        <f t="shared" si="1466"/>
        <v>1.2888235206830868E-3</v>
      </c>
      <c r="M2819" s="4">
        <f t="shared" si="1466"/>
        <v>1.2888235206830868E-3</v>
      </c>
      <c r="N2819" t="s">
        <v>256</v>
      </c>
      <c r="O2819" t="s">
        <v>354</v>
      </c>
      <c r="P2819" t="s">
        <v>424</v>
      </c>
      <c r="Q2819" s="4" t="s">
        <v>245</v>
      </c>
    </row>
    <row r="2820" spans="1:17" x14ac:dyDescent="0.25">
      <c r="A2820" t="s">
        <v>424</v>
      </c>
      <c r="B2820" t="s">
        <v>193</v>
      </c>
      <c r="C2820" s="4">
        <f t="shared" ref="C2820:M2820" si="1467">(0.0900940072589024/(0.0900940072589024+0.00396421732885982+0.0572052587068733+0.752028927432513)) * 0.00186410460216015%</f>
        <v>1.8592501338871522E-6</v>
      </c>
      <c r="D2820" s="4">
        <f t="shared" si="1467"/>
        <v>1.8592501338871522E-6</v>
      </c>
      <c r="E2820" s="4">
        <f t="shared" si="1467"/>
        <v>1.8592501338871522E-6</v>
      </c>
      <c r="F2820" s="4">
        <f t="shared" si="1467"/>
        <v>1.8592501338871522E-6</v>
      </c>
      <c r="G2820" s="4">
        <f t="shared" si="1467"/>
        <v>1.8592501338871522E-6</v>
      </c>
      <c r="H2820" s="4">
        <f t="shared" si="1467"/>
        <v>1.8592501338871522E-6</v>
      </c>
      <c r="I2820" s="4">
        <f t="shared" si="1467"/>
        <v>1.8592501338871522E-6</v>
      </c>
      <c r="J2820" s="4">
        <f t="shared" si="1467"/>
        <v>1.8592501338871522E-6</v>
      </c>
      <c r="K2820" s="4">
        <f t="shared" si="1467"/>
        <v>1.8592501338871522E-6</v>
      </c>
      <c r="L2820" s="4">
        <f t="shared" si="1467"/>
        <v>1.8592501338871522E-6</v>
      </c>
      <c r="M2820" s="4">
        <f t="shared" si="1467"/>
        <v>1.8592501338871522E-6</v>
      </c>
      <c r="N2820" t="s">
        <v>242</v>
      </c>
      <c r="O2820" t="s">
        <v>358</v>
      </c>
      <c r="P2820" t="s">
        <v>424</v>
      </c>
      <c r="Q2820" s="4" t="s">
        <v>245</v>
      </c>
    </row>
    <row r="2821" spans="1:17" x14ac:dyDescent="0.25">
      <c r="A2821" t="s">
        <v>424</v>
      </c>
      <c r="B2821" t="s">
        <v>193</v>
      </c>
      <c r="C2821" s="4">
        <f t="shared" ref="C2821:M2821" si="1468">(0.00396421732885982/(0.0900940072589024+0.00396421732885982+0.0572052587068733+0.752028927432513))  * 0.00186410460216015%</f>
        <v>8.1808677665540251E-8</v>
      </c>
      <c r="D2821" s="4">
        <f t="shared" si="1468"/>
        <v>8.1808677665540251E-8</v>
      </c>
      <c r="E2821" s="4">
        <f t="shared" si="1468"/>
        <v>8.1808677665540251E-8</v>
      </c>
      <c r="F2821" s="4">
        <f t="shared" si="1468"/>
        <v>8.1808677665540251E-8</v>
      </c>
      <c r="G2821" s="4">
        <f t="shared" si="1468"/>
        <v>8.1808677665540251E-8</v>
      </c>
      <c r="H2821" s="4">
        <f t="shared" si="1468"/>
        <v>8.1808677665540251E-8</v>
      </c>
      <c r="I2821" s="4">
        <f t="shared" si="1468"/>
        <v>8.1808677665540251E-8</v>
      </c>
      <c r="J2821" s="4">
        <f t="shared" si="1468"/>
        <v>8.1808677665540251E-8</v>
      </c>
      <c r="K2821" s="4">
        <f t="shared" si="1468"/>
        <v>8.1808677665540251E-8</v>
      </c>
      <c r="L2821" s="4">
        <f t="shared" si="1468"/>
        <v>8.1808677665540251E-8</v>
      </c>
      <c r="M2821" s="4">
        <f t="shared" si="1468"/>
        <v>8.1808677665540251E-8</v>
      </c>
      <c r="N2821" t="s">
        <v>256</v>
      </c>
      <c r="O2821" t="s">
        <v>353</v>
      </c>
      <c r="P2821" t="s">
        <v>424</v>
      </c>
      <c r="Q2821" s="4" t="s">
        <v>245</v>
      </c>
    </row>
    <row r="2822" spans="1:17" x14ac:dyDescent="0.25">
      <c r="A2822" t="s">
        <v>424</v>
      </c>
      <c r="B2822" t="s">
        <v>193</v>
      </c>
      <c r="C2822" s="4">
        <f t="shared" ref="C2822:M2822" si="1469">(0.0572052587068733/(0.0900940072589024+0.00396421732885982+0.0572052587068733+0.752028927432513)) * 0.00186410460216015%</f>
        <v>1.18053229227734E-6</v>
      </c>
      <c r="D2822" s="4">
        <f t="shared" si="1469"/>
        <v>1.18053229227734E-6</v>
      </c>
      <c r="E2822" s="4">
        <f t="shared" si="1469"/>
        <v>1.18053229227734E-6</v>
      </c>
      <c r="F2822" s="4">
        <f t="shared" si="1469"/>
        <v>1.18053229227734E-6</v>
      </c>
      <c r="G2822" s="4">
        <f t="shared" si="1469"/>
        <v>1.18053229227734E-6</v>
      </c>
      <c r="H2822" s="4">
        <f t="shared" si="1469"/>
        <v>1.18053229227734E-6</v>
      </c>
      <c r="I2822" s="4">
        <f t="shared" si="1469"/>
        <v>1.18053229227734E-6</v>
      </c>
      <c r="J2822" s="4">
        <f t="shared" si="1469"/>
        <v>1.18053229227734E-6</v>
      </c>
      <c r="K2822" s="4">
        <f t="shared" si="1469"/>
        <v>1.18053229227734E-6</v>
      </c>
      <c r="L2822" s="4">
        <f t="shared" si="1469"/>
        <v>1.18053229227734E-6</v>
      </c>
      <c r="M2822" s="4">
        <f t="shared" si="1469"/>
        <v>1.18053229227734E-6</v>
      </c>
      <c r="N2822" t="s">
        <v>256</v>
      </c>
      <c r="O2822" t="s">
        <v>280</v>
      </c>
      <c r="P2822" t="s">
        <v>424</v>
      </c>
      <c r="Q2822" s="4" t="s">
        <v>245</v>
      </c>
    </row>
    <row r="2823" spans="1:17" x14ac:dyDescent="0.25">
      <c r="A2823" t="s">
        <v>424</v>
      </c>
      <c r="B2823" t="s">
        <v>193</v>
      </c>
      <c r="C2823" s="4">
        <f t="shared" ref="C2823:M2823" si="1470">(0.752028927432513/(0.0900940072589024+0.00396421732885982+0.0572052587068733+0.752028927432513)) * 0.00186410460216015%</f>
        <v>1.5519454917771471E-5</v>
      </c>
      <c r="D2823" s="4">
        <f t="shared" si="1470"/>
        <v>1.5519454917771471E-5</v>
      </c>
      <c r="E2823" s="4">
        <f t="shared" si="1470"/>
        <v>1.5519454917771471E-5</v>
      </c>
      <c r="F2823" s="4">
        <f t="shared" si="1470"/>
        <v>1.5519454917771471E-5</v>
      </c>
      <c r="G2823" s="4">
        <f t="shared" si="1470"/>
        <v>1.5519454917771471E-5</v>
      </c>
      <c r="H2823" s="4">
        <f t="shared" si="1470"/>
        <v>1.5519454917771471E-5</v>
      </c>
      <c r="I2823" s="4">
        <f t="shared" si="1470"/>
        <v>1.5519454917771471E-5</v>
      </c>
      <c r="J2823" s="4">
        <f t="shared" si="1470"/>
        <v>1.5519454917771471E-5</v>
      </c>
      <c r="K2823" s="4">
        <f t="shared" si="1470"/>
        <v>1.5519454917771471E-5</v>
      </c>
      <c r="L2823" s="4">
        <f t="shared" si="1470"/>
        <v>1.5519454917771471E-5</v>
      </c>
      <c r="M2823" s="4">
        <f t="shared" si="1470"/>
        <v>1.5519454917771471E-5</v>
      </c>
      <c r="N2823" t="s">
        <v>256</v>
      </c>
      <c r="O2823" t="s">
        <v>354</v>
      </c>
      <c r="P2823" t="s">
        <v>424</v>
      </c>
      <c r="Q2823" s="4" t="s">
        <v>245</v>
      </c>
    </row>
    <row r="2824" spans="1:17" x14ac:dyDescent="0.25">
      <c r="A2824" t="s">
        <v>424</v>
      </c>
      <c r="B2824" t="s">
        <v>90</v>
      </c>
      <c r="C2824" s="4">
        <f t="shared" ref="C2824:M2824" si="1471">(0.0900940072589024/(0.0900940072589024+0.00396421732885982+0.0572052587068733+0.752028927432513)) * 0.00183548252362305%</f>
        <v>1.8307025924613305E-6</v>
      </c>
      <c r="D2824" s="4">
        <f t="shared" si="1471"/>
        <v>1.8307025924613305E-6</v>
      </c>
      <c r="E2824" s="4">
        <f t="shared" si="1471"/>
        <v>1.8307025924613305E-6</v>
      </c>
      <c r="F2824" s="4">
        <f t="shared" si="1471"/>
        <v>1.8307025924613305E-6</v>
      </c>
      <c r="G2824" s="4">
        <f t="shared" si="1471"/>
        <v>1.8307025924613305E-6</v>
      </c>
      <c r="H2824" s="4">
        <f t="shared" si="1471"/>
        <v>1.8307025924613305E-6</v>
      </c>
      <c r="I2824" s="4">
        <f t="shared" si="1471"/>
        <v>1.8307025924613305E-6</v>
      </c>
      <c r="J2824" s="4">
        <f t="shared" si="1471"/>
        <v>1.8307025924613305E-6</v>
      </c>
      <c r="K2824" s="4">
        <f t="shared" si="1471"/>
        <v>1.8307025924613305E-6</v>
      </c>
      <c r="L2824" s="4">
        <f t="shared" si="1471"/>
        <v>1.8307025924613305E-6</v>
      </c>
      <c r="M2824" s="4">
        <f t="shared" si="1471"/>
        <v>1.8307025924613305E-6</v>
      </c>
      <c r="N2824" t="s">
        <v>242</v>
      </c>
      <c r="O2824" t="s">
        <v>358</v>
      </c>
      <c r="P2824" t="s">
        <v>424</v>
      </c>
      <c r="Q2824" s="4" t="s">
        <v>245</v>
      </c>
    </row>
    <row r="2825" spans="1:17" x14ac:dyDescent="0.25">
      <c r="A2825" t="s">
        <v>424</v>
      </c>
      <c r="B2825" t="s">
        <v>90</v>
      </c>
      <c r="C2825" s="4">
        <f t="shared" ref="C2825:M2825" si="1472">(0.00396421732885982/(0.0900940072589024+0.00396421732885982+0.0572052587068733+0.752028927432513))  * 0.00183548252362305%</f>
        <v>8.0552560173825466E-8</v>
      </c>
      <c r="D2825" s="4">
        <f t="shared" si="1472"/>
        <v>8.0552560173825466E-8</v>
      </c>
      <c r="E2825" s="4">
        <f t="shared" si="1472"/>
        <v>8.0552560173825466E-8</v>
      </c>
      <c r="F2825" s="4">
        <f t="shared" si="1472"/>
        <v>8.0552560173825466E-8</v>
      </c>
      <c r="G2825" s="4">
        <f t="shared" si="1472"/>
        <v>8.0552560173825466E-8</v>
      </c>
      <c r="H2825" s="4">
        <f t="shared" si="1472"/>
        <v>8.0552560173825466E-8</v>
      </c>
      <c r="I2825" s="4">
        <f t="shared" si="1472"/>
        <v>8.0552560173825466E-8</v>
      </c>
      <c r="J2825" s="4">
        <f t="shared" si="1472"/>
        <v>8.0552560173825466E-8</v>
      </c>
      <c r="K2825" s="4">
        <f t="shared" si="1472"/>
        <v>8.0552560173825466E-8</v>
      </c>
      <c r="L2825" s="4">
        <f t="shared" si="1472"/>
        <v>8.0552560173825466E-8</v>
      </c>
      <c r="M2825" s="4">
        <f t="shared" si="1472"/>
        <v>8.0552560173825466E-8</v>
      </c>
      <c r="N2825" t="s">
        <v>256</v>
      </c>
      <c r="O2825" t="s">
        <v>353</v>
      </c>
      <c r="P2825" t="s">
        <v>424</v>
      </c>
      <c r="Q2825" s="4" t="s">
        <v>245</v>
      </c>
    </row>
    <row r="2826" spans="1:17" x14ac:dyDescent="0.25">
      <c r="A2826" t="s">
        <v>424</v>
      </c>
      <c r="B2826" t="s">
        <v>90</v>
      </c>
      <c r="C2826" s="4">
        <f t="shared" ref="C2826:M2826" si="1473">(0.0572052587068733/(0.0900940072589024+0.00396421732885982+0.0572052587068733+0.752028927432513)) * 0.00183548252362305%</f>
        <v>1.1624060090494625E-6</v>
      </c>
      <c r="D2826" s="4">
        <f t="shared" si="1473"/>
        <v>1.1624060090494625E-6</v>
      </c>
      <c r="E2826" s="4">
        <f t="shared" si="1473"/>
        <v>1.1624060090494625E-6</v>
      </c>
      <c r="F2826" s="4">
        <f t="shared" si="1473"/>
        <v>1.1624060090494625E-6</v>
      </c>
      <c r="G2826" s="4">
        <f t="shared" si="1473"/>
        <v>1.1624060090494625E-6</v>
      </c>
      <c r="H2826" s="4">
        <f t="shared" si="1473"/>
        <v>1.1624060090494625E-6</v>
      </c>
      <c r="I2826" s="4">
        <f t="shared" si="1473"/>
        <v>1.1624060090494625E-6</v>
      </c>
      <c r="J2826" s="4">
        <f t="shared" si="1473"/>
        <v>1.1624060090494625E-6</v>
      </c>
      <c r="K2826" s="4">
        <f t="shared" si="1473"/>
        <v>1.1624060090494625E-6</v>
      </c>
      <c r="L2826" s="4">
        <f t="shared" si="1473"/>
        <v>1.1624060090494625E-6</v>
      </c>
      <c r="M2826" s="4">
        <f t="shared" si="1473"/>
        <v>1.1624060090494625E-6</v>
      </c>
      <c r="N2826" t="s">
        <v>256</v>
      </c>
      <c r="O2826" t="s">
        <v>280</v>
      </c>
      <c r="P2826" t="s">
        <v>424</v>
      </c>
      <c r="Q2826" s="4" t="s">
        <v>245</v>
      </c>
    </row>
    <row r="2827" spans="1:17" x14ac:dyDescent="0.25">
      <c r="A2827" t="s">
        <v>424</v>
      </c>
      <c r="B2827" t="s">
        <v>90</v>
      </c>
      <c r="C2827" s="4">
        <f t="shared" ref="C2827:M2827" si="1474">(0.752028927432513/(0.0900940072589024+0.00396421732885982+0.0572052587068733+0.752028927432513)) * 0.00183548252362305%</f>
        <v>1.5281164074545882E-5</v>
      </c>
      <c r="D2827" s="4">
        <f t="shared" si="1474"/>
        <v>1.5281164074545882E-5</v>
      </c>
      <c r="E2827" s="4">
        <f t="shared" si="1474"/>
        <v>1.5281164074545882E-5</v>
      </c>
      <c r="F2827" s="4">
        <f t="shared" si="1474"/>
        <v>1.5281164074545882E-5</v>
      </c>
      <c r="G2827" s="4">
        <f t="shared" si="1474"/>
        <v>1.5281164074545882E-5</v>
      </c>
      <c r="H2827" s="4">
        <f t="shared" si="1474"/>
        <v>1.5281164074545882E-5</v>
      </c>
      <c r="I2827" s="4">
        <f t="shared" si="1474"/>
        <v>1.5281164074545882E-5</v>
      </c>
      <c r="J2827" s="4">
        <f t="shared" si="1474"/>
        <v>1.5281164074545882E-5</v>
      </c>
      <c r="K2827" s="4">
        <f t="shared" si="1474"/>
        <v>1.5281164074545882E-5</v>
      </c>
      <c r="L2827" s="4">
        <f t="shared" si="1474"/>
        <v>1.5281164074545882E-5</v>
      </c>
      <c r="M2827" s="4">
        <f t="shared" si="1474"/>
        <v>1.5281164074545882E-5</v>
      </c>
      <c r="N2827" t="s">
        <v>256</v>
      </c>
      <c r="O2827" t="s">
        <v>354</v>
      </c>
      <c r="P2827" t="s">
        <v>424</v>
      </c>
      <c r="Q2827" s="4" t="s">
        <v>245</v>
      </c>
    </row>
    <row r="2828" spans="1:17" x14ac:dyDescent="0.25">
      <c r="A2828" t="s">
        <v>424</v>
      </c>
      <c r="B2828" t="s">
        <v>154</v>
      </c>
      <c r="C2828" s="4">
        <f t="shared" ref="C2828:M2828" si="1475">(0.0900940072589024/(0.0900940072589024+0.00396421732885982+0.0572052587068733+0.752028927432513)) * 0.122660284520487%</f>
        <v>1.223408547744998E-4</v>
      </c>
      <c r="D2828" s="4">
        <f t="shared" si="1475"/>
        <v>1.223408547744998E-4</v>
      </c>
      <c r="E2828" s="4">
        <f t="shared" si="1475"/>
        <v>1.223408547744998E-4</v>
      </c>
      <c r="F2828" s="4">
        <f t="shared" si="1475"/>
        <v>1.223408547744998E-4</v>
      </c>
      <c r="G2828" s="4">
        <f t="shared" si="1475"/>
        <v>1.223408547744998E-4</v>
      </c>
      <c r="H2828" s="4">
        <f t="shared" si="1475"/>
        <v>1.223408547744998E-4</v>
      </c>
      <c r="I2828" s="4">
        <f t="shared" si="1475"/>
        <v>1.223408547744998E-4</v>
      </c>
      <c r="J2828" s="4">
        <f t="shared" si="1475"/>
        <v>1.223408547744998E-4</v>
      </c>
      <c r="K2828" s="4">
        <f t="shared" si="1475"/>
        <v>1.223408547744998E-4</v>
      </c>
      <c r="L2828" s="4">
        <f t="shared" si="1475"/>
        <v>1.223408547744998E-4</v>
      </c>
      <c r="M2828" s="4">
        <f t="shared" si="1475"/>
        <v>1.223408547744998E-4</v>
      </c>
      <c r="N2828" t="s">
        <v>242</v>
      </c>
      <c r="O2828" t="s">
        <v>358</v>
      </c>
      <c r="P2828" t="s">
        <v>424</v>
      </c>
      <c r="Q2828" s="4" t="s">
        <v>245</v>
      </c>
    </row>
    <row r="2829" spans="1:17" x14ac:dyDescent="0.25">
      <c r="A2829" t="s">
        <v>424</v>
      </c>
      <c r="B2829" t="s">
        <v>154</v>
      </c>
      <c r="C2829" s="4">
        <f t="shared" ref="C2829:M2829" si="1476">(0.00396421732885982/(0.0900940072589024+0.00396421732885982+0.0572052587068733+0.752028927432513))  * 0.122660284520487%</f>
        <v>5.3831076148149931E-6</v>
      </c>
      <c r="D2829" s="4">
        <f t="shared" si="1476"/>
        <v>5.3831076148149931E-6</v>
      </c>
      <c r="E2829" s="4">
        <f t="shared" si="1476"/>
        <v>5.3831076148149931E-6</v>
      </c>
      <c r="F2829" s="4">
        <f t="shared" si="1476"/>
        <v>5.3831076148149931E-6</v>
      </c>
      <c r="G2829" s="4">
        <f t="shared" si="1476"/>
        <v>5.3831076148149931E-6</v>
      </c>
      <c r="H2829" s="4">
        <f t="shared" si="1476"/>
        <v>5.3831076148149931E-6</v>
      </c>
      <c r="I2829" s="4">
        <f t="shared" si="1476"/>
        <v>5.3831076148149931E-6</v>
      </c>
      <c r="J2829" s="4">
        <f t="shared" si="1476"/>
        <v>5.3831076148149931E-6</v>
      </c>
      <c r="K2829" s="4">
        <f t="shared" si="1476"/>
        <v>5.3831076148149931E-6</v>
      </c>
      <c r="L2829" s="4">
        <f t="shared" si="1476"/>
        <v>5.3831076148149931E-6</v>
      </c>
      <c r="M2829" s="4">
        <f t="shared" si="1476"/>
        <v>5.3831076148149931E-6</v>
      </c>
      <c r="N2829" t="s">
        <v>256</v>
      </c>
      <c r="O2829" t="s">
        <v>353</v>
      </c>
      <c r="P2829" t="s">
        <v>424</v>
      </c>
      <c r="Q2829" s="4" t="s">
        <v>245</v>
      </c>
    </row>
    <row r="2830" spans="1:17" x14ac:dyDescent="0.25">
      <c r="A2830" t="s">
        <v>424</v>
      </c>
      <c r="B2830" t="s">
        <v>154</v>
      </c>
      <c r="C2830" s="4">
        <f t="shared" ref="C2830:M2830" si="1477">(0.0572052587068733/(0.0900940072589024+0.00396421732885982+0.0572052587068733+0.752028927432513)) * 0.122660284520487%</f>
        <v>7.7680419161328099E-5</v>
      </c>
      <c r="D2830" s="4">
        <f t="shared" si="1477"/>
        <v>7.7680419161328099E-5</v>
      </c>
      <c r="E2830" s="4">
        <f t="shared" si="1477"/>
        <v>7.7680419161328099E-5</v>
      </c>
      <c r="F2830" s="4">
        <f t="shared" si="1477"/>
        <v>7.7680419161328099E-5</v>
      </c>
      <c r="G2830" s="4">
        <f t="shared" si="1477"/>
        <v>7.7680419161328099E-5</v>
      </c>
      <c r="H2830" s="4">
        <f t="shared" si="1477"/>
        <v>7.7680419161328099E-5</v>
      </c>
      <c r="I2830" s="4">
        <f t="shared" si="1477"/>
        <v>7.7680419161328099E-5</v>
      </c>
      <c r="J2830" s="4">
        <f t="shared" si="1477"/>
        <v>7.7680419161328099E-5</v>
      </c>
      <c r="K2830" s="4">
        <f t="shared" si="1477"/>
        <v>7.7680419161328099E-5</v>
      </c>
      <c r="L2830" s="4">
        <f t="shared" si="1477"/>
        <v>7.7680419161328099E-5</v>
      </c>
      <c r="M2830" s="4">
        <f t="shared" si="1477"/>
        <v>7.7680419161328099E-5</v>
      </c>
      <c r="N2830" t="s">
        <v>256</v>
      </c>
      <c r="O2830" t="s">
        <v>280</v>
      </c>
      <c r="P2830" t="s">
        <v>424</v>
      </c>
      <c r="Q2830" s="4" t="s">
        <v>245</v>
      </c>
    </row>
    <row r="2831" spans="1:17" x14ac:dyDescent="0.25">
      <c r="A2831" t="s">
        <v>424</v>
      </c>
      <c r="B2831" t="s">
        <v>154</v>
      </c>
      <c r="C2831" s="4">
        <f t="shared" ref="C2831:M2831" si="1478">(0.752028927432513/(0.0900940072589024+0.00396421732885982+0.0572052587068733+0.752028927432513)) * 0.122660284520487%</f>
        <v>1.0211984636542271E-3</v>
      </c>
      <c r="D2831" s="4">
        <f t="shared" si="1478"/>
        <v>1.0211984636542271E-3</v>
      </c>
      <c r="E2831" s="4">
        <f t="shared" si="1478"/>
        <v>1.0211984636542271E-3</v>
      </c>
      <c r="F2831" s="4">
        <f t="shared" si="1478"/>
        <v>1.0211984636542271E-3</v>
      </c>
      <c r="G2831" s="4">
        <f t="shared" si="1478"/>
        <v>1.0211984636542271E-3</v>
      </c>
      <c r="H2831" s="4">
        <f t="shared" si="1478"/>
        <v>1.0211984636542271E-3</v>
      </c>
      <c r="I2831" s="4">
        <f t="shared" si="1478"/>
        <v>1.0211984636542271E-3</v>
      </c>
      <c r="J2831" s="4">
        <f t="shared" si="1478"/>
        <v>1.0211984636542271E-3</v>
      </c>
      <c r="K2831" s="4">
        <f t="shared" si="1478"/>
        <v>1.0211984636542271E-3</v>
      </c>
      <c r="L2831" s="4">
        <f t="shared" si="1478"/>
        <v>1.0211984636542271E-3</v>
      </c>
      <c r="M2831" s="4">
        <f t="shared" si="1478"/>
        <v>1.0211984636542271E-3</v>
      </c>
      <c r="N2831" t="s">
        <v>256</v>
      </c>
      <c r="O2831" t="s">
        <v>354</v>
      </c>
      <c r="P2831" t="s">
        <v>424</v>
      </c>
      <c r="Q2831" s="4" t="s">
        <v>245</v>
      </c>
    </row>
    <row r="2832" spans="1:17" x14ac:dyDescent="0.25">
      <c r="A2832" t="s">
        <v>424</v>
      </c>
      <c r="B2832" t="s">
        <v>169</v>
      </c>
      <c r="C2832" s="4">
        <f t="shared" ref="C2832:M2832" si="1479">(0.0900940072589024/(0.0900940072589024+0.00396421732885982+0.0572052587068733+0.752028927432513)) * 0.0505950280602051%</f>
        <v>5.0463269381960817E-5</v>
      </c>
      <c r="D2832" s="4">
        <f t="shared" si="1479"/>
        <v>5.0463269381960817E-5</v>
      </c>
      <c r="E2832" s="4">
        <f t="shared" si="1479"/>
        <v>5.0463269381960817E-5</v>
      </c>
      <c r="F2832" s="4">
        <f t="shared" si="1479"/>
        <v>5.0463269381960817E-5</v>
      </c>
      <c r="G2832" s="4">
        <f t="shared" si="1479"/>
        <v>5.0463269381960817E-5</v>
      </c>
      <c r="H2832" s="4">
        <f t="shared" si="1479"/>
        <v>5.0463269381960817E-5</v>
      </c>
      <c r="I2832" s="4">
        <f t="shared" si="1479"/>
        <v>5.0463269381960817E-5</v>
      </c>
      <c r="J2832" s="4">
        <f t="shared" si="1479"/>
        <v>5.0463269381960817E-5</v>
      </c>
      <c r="K2832" s="4">
        <f t="shared" si="1479"/>
        <v>5.0463269381960817E-5</v>
      </c>
      <c r="L2832" s="4">
        <f t="shared" si="1479"/>
        <v>5.0463269381960817E-5</v>
      </c>
      <c r="M2832" s="4">
        <f t="shared" si="1479"/>
        <v>5.0463269381960817E-5</v>
      </c>
      <c r="N2832" t="s">
        <v>242</v>
      </c>
      <c r="O2832" t="s">
        <v>358</v>
      </c>
      <c r="P2832" t="s">
        <v>424</v>
      </c>
      <c r="Q2832" s="4" t="s">
        <v>245</v>
      </c>
    </row>
    <row r="2833" spans="1:17" x14ac:dyDescent="0.25">
      <c r="A2833" t="s">
        <v>424</v>
      </c>
      <c r="B2833" t="s">
        <v>169</v>
      </c>
      <c r="C2833" s="4">
        <f t="shared" ref="C2833:M2833" si="1480">(0.00396421732885982/(0.0900940072589024+0.00396421732885982+0.0572052587068733+0.752028927432513))  * 0.0505950280602051%</f>
        <v>2.220429227662344E-6</v>
      </c>
      <c r="D2833" s="4">
        <f t="shared" si="1480"/>
        <v>2.220429227662344E-6</v>
      </c>
      <c r="E2833" s="4">
        <f t="shared" si="1480"/>
        <v>2.220429227662344E-6</v>
      </c>
      <c r="F2833" s="4">
        <f t="shared" si="1480"/>
        <v>2.220429227662344E-6</v>
      </c>
      <c r="G2833" s="4">
        <f t="shared" si="1480"/>
        <v>2.220429227662344E-6</v>
      </c>
      <c r="H2833" s="4">
        <f t="shared" si="1480"/>
        <v>2.220429227662344E-6</v>
      </c>
      <c r="I2833" s="4">
        <f t="shared" si="1480"/>
        <v>2.220429227662344E-6</v>
      </c>
      <c r="J2833" s="4">
        <f t="shared" si="1480"/>
        <v>2.220429227662344E-6</v>
      </c>
      <c r="K2833" s="4">
        <f t="shared" si="1480"/>
        <v>2.220429227662344E-6</v>
      </c>
      <c r="L2833" s="4">
        <f t="shared" si="1480"/>
        <v>2.220429227662344E-6</v>
      </c>
      <c r="M2833" s="4">
        <f t="shared" si="1480"/>
        <v>2.220429227662344E-6</v>
      </c>
      <c r="N2833" t="s">
        <v>256</v>
      </c>
      <c r="O2833" t="s">
        <v>353</v>
      </c>
      <c r="P2833" t="s">
        <v>424</v>
      </c>
      <c r="Q2833" s="4" t="s">
        <v>245</v>
      </c>
    </row>
    <row r="2834" spans="1:17" x14ac:dyDescent="0.25">
      <c r="A2834" t="s">
        <v>424</v>
      </c>
      <c r="B2834" t="s">
        <v>169</v>
      </c>
      <c r="C2834" s="4">
        <f t="shared" ref="C2834:M2834" si="1481">(0.0572052587068733/(0.0900940072589024+0.00396421732885982+0.0572052587068733+0.752028927432513)) * 0.0505950280602051%</f>
        <v>3.204169142897635E-5</v>
      </c>
      <c r="D2834" s="4">
        <f t="shared" si="1481"/>
        <v>3.204169142897635E-5</v>
      </c>
      <c r="E2834" s="4">
        <f t="shared" si="1481"/>
        <v>3.204169142897635E-5</v>
      </c>
      <c r="F2834" s="4">
        <f t="shared" si="1481"/>
        <v>3.204169142897635E-5</v>
      </c>
      <c r="G2834" s="4">
        <f t="shared" si="1481"/>
        <v>3.204169142897635E-5</v>
      </c>
      <c r="H2834" s="4">
        <f t="shared" si="1481"/>
        <v>3.204169142897635E-5</v>
      </c>
      <c r="I2834" s="4">
        <f t="shared" si="1481"/>
        <v>3.204169142897635E-5</v>
      </c>
      <c r="J2834" s="4">
        <f t="shared" si="1481"/>
        <v>3.204169142897635E-5</v>
      </c>
      <c r="K2834" s="4">
        <f t="shared" si="1481"/>
        <v>3.204169142897635E-5</v>
      </c>
      <c r="L2834" s="4">
        <f t="shared" si="1481"/>
        <v>3.204169142897635E-5</v>
      </c>
      <c r="M2834" s="4">
        <f t="shared" si="1481"/>
        <v>3.204169142897635E-5</v>
      </c>
      <c r="N2834" t="s">
        <v>256</v>
      </c>
      <c r="O2834" t="s">
        <v>280</v>
      </c>
      <c r="P2834" t="s">
        <v>424</v>
      </c>
      <c r="Q2834" s="4" t="s">
        <v>245</v>
      </c>
    </row>
    <row r="2835" spans="1:17" x14ac:dyDescent="0.25">
      <c r="A2835" t="s">
        <v>424</v>
      </c>
      <c r="B2835" t="s">
        <v>169</v>
      </c>
      <c r="C2835" s="4">
        <f t="shared" ref="C2835:M2835" si="1482">(0.752028927432513/(0.0900940072589024+0.00396421732885982+0.0572052587068733+0.752028927432513)) * 0.0505950280602051%</f>
        <v>4.2122489056345148E-4</v>
      </c>
      <c r="D2835" s="4">
        <f t="shared" si="1482"/>
        <v>4.2122489056345148E-4</v>
      </c>
      <c r="E2835" s="4">
        <f t="shared" si="1482"/>
        <v>4.2122489056345148E-4</v>
      </c>
      <c r="F2835" s="4">
        <f t="shared" si="1482"/>
        <v>4.2122489056345148E-4</v>
      </c>
      <c r="G2835" s="4">
        <f t="shared" si="1482"/>
        <v>4.2122489056345148E-4</v>
      </c>
      <c r="H2835" s="4">
        <f t="shared" si="1482"/>
        <v>4.2122489056345148E-4</v>
      </c>
      <c r="I2835" s="4">
        <f t="shared" si="1482"/>
        <v>4.2122489056345148E-4</v>
      </c>
      <c r="J2835" s="4">
        <f t="shared" si="1482"/>
        <v>4.2122489056345148E-4</v>
      </c>
      <c r="K2835" s="4">
        <f t="shared" si="1482"/>
        <v>4.2122489056345148E-4</v>
      </c>
      <c r="L2835" s="4">
        <f t="shared" si="1482"/>
        <v>4.2122489056345148E-4</v>
      </c>
      <c r="M2835" s="4">
        <f t="shared" si="1482"/>
        <v>4.2122489056345148E-4</v>
      </c>
      <c r="N2835" t="s">
        <v>256</v>
      </c>
      <c r="O2835" t="s">
        <v>354</v>
      </c>
      <c r="P2835" t="s">
        <v>424</v>
      </c>
      <c r="Q2835" s="4" t="s">
        <v>245</v>
      </c>
    </row>
    <row r="2836" spans="1:17" x14ac:dyDescent="0.25">
      <c r="A2836" t="s">
        <v>424</v>
      </c>
      <c r="B2836" t="s">
        <v>117</v>
      </c>
      <c r="C2836" s="4">
        <f t="shared" ref="C2836:M2836" si="1483">(0.0900940072589024/(0.0900940072589024+0.00396421732885982+0.0572052587068733+0.752028927432513)) * 0.00168796873423951%</f>
        <v>1.683572955882071E-6</v>
      </c>
      <c r="D2836" s="4">
        <f t="shared" si="1483"/>
        <v>1.683572955882071E-6</v>
      </c>
      <c r="E2836" s="4">
        <f t="shared" si="1483"/>
        <v>1.683572955882071E-6</v>
      </c>
      <c r="F2836" s="4">
        <f t="shared" si="1483"/>
        <v>1.683572955882071E-6</v>
      </c>
      <c r="G2836" s="4">
        <f t="shared" si="1483"/>
        <v>1.683572955882071E-6</v>
      </c>
      <c r="H2836" s="4">
        <f t="shared" si="1483"/>
        <v>1.683572955882071E-6</v>
      </c>
      <c r="I2836" s="4">
        <f t="shared" si="1483"/>
        <v>1.683572955882071E-6</v>
      </c>
      <c r="J2836" s="4">
        <f t="shared" si="1483"/>
        <v>1.683572955882071E-6</v>
      </c>
      <c r="K2836" s="4">
        <f t="shared" si="1483"/>
        <v>1.683572955882071E-6</v>
      </c>
      <c r="L2836" s="4">
        <f t="shared" si="1483"/>
        <v>1.683572955882071E-6</v>
      </c>
      <c r="M2836" s="4">
        <f t="shared" si="1483"/>
        <v>1.683572955882071E-6</v>
      </c>
      <c r="N2836" t="s">
        <v>242</v>
      </c>
      <c r="O2836" t="s">
        <v>358</v>
      </c>
      <c r="P2836" t="s">
        <v>424</v>
      </c>
      <c r="Q2836" s="4" t="s">
        <v>245</v>
      </c>
    </row>
    <row r="2837" spans="1:17" x14ac:dyDescent="0.25">
      <c r="A2837" t="s">
        <v>424</v>
      </c>
      <c r="B2837" t="s">
        <v>117</v>
      </c>
      <c r="C2837" s="4">
        <f t="shared" ref="C2837:M2837" si="1484">(0.00396421732885982/(0.0900940072589024+0.00396421732885982+0.0572052587068733+0.752028927432513))  * 0.00168796873423951%</f>
        <v>7.4078723870371271E-8</v>
      </c>
      <c r="D2837" s="4">
        <f t="shared" si="1484"/>
        <v>7.4078723870371271E-8</v>
      </c>
      <c r="E2837" s="4">
        <f t="shared" si="1484"/>
        <v>7.4078723870371271E-8</v>
      </c>
      <c r="F2837" s="4">
        <f t="shared" si="1484"/>
        <v>7.4078723870371271E-8</v>
      </c>
      <c r="G2837" s="4">
        <f t="shared" si="1484"/>
        <v>7.4078723870371271E-8</v>
      </c>
      <c r="H2837" s="4">
        <f t="shared" si="1484"/>
        <v>7.4078723870371271E-8</v>
      </c>
      <c r="I2837" s="4">
        <f t="shared" si="1484"/>
        <v>7.4078723870371271E-8</v>
      </c>
      <c r="J2837" s="4">
        <f t="shared" si="1484"/>
        <v>7.4078723870371271E-8</v>
      </c>
      <c r="K2837" s="4">
        <f t="shared" si="1484"/>
        <v>7.4078723870371271E-8</v>
      </c>
      <c r="L2837" s="4">
        <f t="shared" si="1484"/>
        <v>7.4078723870371271E-8</v>
      </c>
      <c r="M2837" s="4">
        <f t="shared" si="1484"/>
        <v>7.4078723870371271E-8</v>
      </c>
      <c r="N2837" t="s">
        <v>256</v>
      </c>
      <c r="O2837" t="s">
        <v>353</v>
      </c>
      <c r="P2837" t="s">
        <v>424</v>
      </c>
      <c r="Q2837" s="4" t="s">
        <v>245</v>
      </c>
    </row>
    <row r="2838" spans="1:17" x14ac:dyDescent="0.25">
      <c r="A2838" t="s">
        <v>424</v>
      </c>
      <c r="B2838" t="s">
        <v>117</v>
      </c>
      <c r="C2838" s="4">
        <f t="shared" ref="C2838:M2838" si="1485">(0.0572052587068733/(0.0900940072589024+0.00396421732885982+0.0572052587068733+0.752028927432513)) * 0.00168796873423951%</f>
        <v>1.0689859339519244E-6</v>
      </c>
      <c r="D2838" s="4">
        <f t="shared" si="1485"/>
        <v>1.0689859339519244E-6</v>
      </c>
      <c r="E2838" s="4">
        <f t="shared" si="1485"/>
        <v>1.0689859339519244E-6</v>
      </c>
      <c r="F2838" s="4">
        <f t="shared" si="1485"/>
        <v>1.0689859339519244E-6</v>
      </c>
      <c r="G2838" s="4">
        <f t="shared" si="1485"/>
        <v>1.0689859339519244E-6</v>
      </c>
      <c r="H2838" s="4">
        <f t="shared" si="1485"/>
        <v>1.0689859339519244E-6</v>
      </c>
      <c r="I2838" s="4">
        <f t="shared" si="1485"/>
        <v>1.0689859339519244E-6</v>
      </c>
      <c r="J2838" s="4">
        <f t="shared" si="1485"/>
        <v>1.0689859339519244E-6</v>
      </c>
      <c r="K2838" s="4">
        <f t="shared" si="1485"/>
        <v>1.0689859339519244E-6</v>
      </c>
      <c r="L2838" s="4">
        <f t="shared" si="1485"/>
        <v>1.0689859339519244E-6</v>
      </c>
      <c r="M2838" s="4">
        <f t="shared" si="1485"/>
        <v>1.0689859339519244E-6</v>
      </c>
      <c r="N2838" t="s">
        <v>256</v>
      </c>
      <c r="O2838" t="s">
        <v>280</v>
      </c>
      <c r="P2838" t="s">
        <v>424</v>
      </c>
      <c r="Q2838" s="4" t="s">
        <v>245</v>
      </c>
    </row>
    <row r="2839" spans="1:17" x14ac:dyDescent="0.25">
      <c r="A2839" t="s">
        <v>424</v>
      </c>
      <c r="B2839" t="s">
        <v>117</v>
      </c>
      <c r="C2839" s="4">
        <f t="shared" ref="C2839:M2839" si="1486">(0.752028927432513/(0.0900940072589024+0.00396421732885982+0.0572052587068733+0.752028927432513)) * 0.00168796873423951%</f>
        <v>1.4053049728690733E-5</v>
      </c>
      <c r="D2839" s="4">
        <f t="shared" si="1486"/>
        <v>1.4053049728690733E-5</v>
      </c>
      <c r="E2839" s="4">
        <f t="shared" si="1486"/>
        <v>1.4053049728690733E-5</v>
      </c>
      <c r="F2839" s="4">
        <f t="shared" si="1486"/>
        <v>1.4053049728690733E-5</v>
      </c>
      <c r="G2839" s="4">
        <f t="shared" si="1486"/>
        <v>1.4053049728690733E-5</v>
      </c>
      <c r="H2839" s="4">
        <f t="shared" si="1486"/>
        <v>1.4053049728690733E-5</v>
      </c>
      <c r="I2839" s="4">
        <f t="shared" si="1486"/>
        <v>1.4053049728690733E-5</v>
      </c>
      <c r="J2839" s="4">
        <f t="shared" si="1486"/>
        <v>1.4053049728690733E-5</v>
      </c>
      <c r="K2839" s="4">
        <f t="shared" si="1486"/>
        <v>1.4053049728690733E-5</v>
      </c>
      <c r="L2839" s="4">
        <f t="shared" si="1486"/>
        <v>1.4053049728690733E-5</v>
      </c>
      <c r="M2839" s="4">
        <f t="shared" si="1486"/>
        <v>1.4053049728690733E-5</v>
      </c>
      <c r="N2839" t="s">
        <v>256</v>
      </c>
      <c r="O2839" t="s">
        <v>354</v>
      </c>
      <c r="P2839" t="s">
        <v>424</v>
      </c>
      <c r="Q2839" s="4" t="s">
        <v>245</v>
      </c>
    </row>
    <row r="2840" spans="1:17" x14ac:dyDescent="0.25">
      <c r="A2840" t="s">
        <v>424</v>
      </c>
      <c r="B2840" t="s">
        <v>92</v>
      </c>
      <c r="C2840" s="4">
        <f t="shared" ref="C2840:M2840" si="1487">(0.0900940072589024/(0.0900940072589024+0.00396421732885982+0.0572052587068733+0.752028927432513)) * 0.0102745922953709%</f>
        <v>1.0247835383629968E-5</v>
      </c>
      <c r="D2840" s="4">
        <f t="shared" si="1487"/>
        <v>1.0247835383629968E-5</v>
      </c>
      <c r="E2840" s="4">
        <f t="shared" si="1487"/>
        <v>1.0247835383629968E-5</v>
      </c>
      <c r="F2840" s="4">
        <f t="shared" si="1487"/>
        <v>1.0247835383629968E-5</v>
      </c>
      <c r="G2840" s="4">
        <f t="shared" si="1487"/>
        <v>1.0247835383629968E-5</v>
      </c>
      <c r="H2840" s="4">
        <f t="shared" si="1487"/>
        <v>1.0247835383629968E-5</v>
      </c>
      <c r="I2840" s="4">
        <f t="shared" si="1487"/>
        <v>1.0247835383629968E-5</v>
      </c>
      <c r="J2840" s="4">
        <f t="shared" si="1487"/>
        <v>1.0247835383629968E-5</v>
      </c>
      <c r="K2840" s="4">
        <f t="shared" si="1487"/>
        <v>1.0247835383629968E-5</v>
      </c>
      <c r="L2840" s="4">
        <f t="shared" si="1487"/>
        <v>1.0247835383629968E-5</v>
      </c>
      <c r="M2840" s="4">
        <f t="shared" si="1487"/>
        <v>1.0247835383629968E-5</v>
      </c>
      <c r="N2840" t="s">
        <v>242</v>
      </c>
      <c r="O2840" t="s">
        <v>358</v>
      </c>
      <c r="P2840" t="s">
        <v>424</v>
      </c>
      <c r="Q2840" s="4" t="s">
        <v>245</v>
      </c>
    </row>
    <row r="2841" spans="1:17" x14ac:dyDescent="0.25">
      <c r="A2841" t="s">
        <v>424</v>
      </c>
      <c r="B2841" t="s">
        <v>92</v>
      </c>
      <c r="C2841" s="4">
        <f t="shared" ref="C2841:M2841" si="1488">(0.00396421732885982/(0.0900940072589024+0.00396421732885982+0.0572052587068733+0.752028927432513))  * 0.0102745922953709%</f>
        <v>4.5091397138486732E-7</v>
      </c>
      <c r="D2841" s="4">
        <f t="shared" si="1488"/>
        <v>4.5091397138486732E-7</v>
      </c>
      <c r="E2841" s="4">
        <f t="shared" si="1488"/>
        <v>4.5091397138486732E-7</v>
      </c>
      <c r="F2841" s="4">
        <f t="shared" si="1488"/>
        <v>4.5091397138486732E-7</v>
      </c>
      <c r="G2841" s="4">
        <f t="shared" si="1488"/>
        <v>4.5091397138486732E-7</v>
      </c>
      <c r="H2841" s="4">
        <f t="shared" si="1488"/>
        <v>4.5091397138486732E-7</v>
      </c>
      <c r="I2841" s="4">
        <f t="shared" si="1488"/>
        <v>4.5091397138486732E-7</v>
      </c>
      <c r="J2841" s="4">
        <f t="shared" si="1488"/>
        <v>4.5091397138486732E-7</v>
      </c>
      <c r="K2841" s="4">
        <f t="shared" si="1488"/>
        <v>4.5091397138486732E-7</v>
      </c>
      <c r="L2841" s="4">
        <f t="shared" si="1488"/>
        <v>4.5091397138486732E-7</v>
      </c>
      <c r="M2841" s="4">
        <f t="shared" si="1488"/>
        <v>4.5091397138486732E-7</v>
      </c>
      <c r="N2841" t="s">
        <v>256</v>
      </c>
      <c r="O2841" t="s">
        <v>353</v>
      </c>
      <c r="P2841" t="s">
        <v>424</v>
      </c>
      <c r="Q2841" s="4" t="s">
        <v>245</v>
      </c>
    </row>
    <row r="2842" spans="1:17" x14ac:dyDescent="0.25">
      <c r="A2842" t="s">
        <v>424</v>
      </c>
      <c r="B2842" t="s">
        <v>92</v>
      </c>
      <c r="C2842" s="4">
        <f t="shared" ref="C2842:M2842" si="1489">(0.0572052587068733/(0.0900940072589024+0.00396421732885982+0.0572052587068733+0.752028927432513)) * 0.0102745922953709%</f>
        <v>6.5068709023160433E-6</v>
      </c>
      <c r="D2842" s="4">
        <f t="shared" si="1489"/>
        <v>6.5068709023160433E-6</v>
      </c>
      <c r="E2842" s="4">
        <f t="shared" si="1489"/>
        <v>6.5068709023160433E-6</v>
      </c>
      <c r="F2842" s="4">
        <f t="shared" si="1489"/>
        <v>6.5068709023160433E-6</v>
      </c>
      <c r="G2842" s="4">
        <f t="shared" si="1489"/>
        <v>6.5068709023160433E-6</v>
      </c>
      <c r="H2842" s="4">
        <f t="shared" si="1489"/>
        <v>6.5068709023160433E-6</v>
      </c>
      <c r="I2842" s="4">
        <f t="shared" si="1489"/>
        <v>6.5068709023160433E-6</v>
      </c>
      <c r="J2842" s="4">
        <f t="shared" si="1489"/>
        <v>6.5068709023160433E-6</v>
      </c>
      <c r="K2842" s="4">
        <f t="shared" si="1489"/>
        <v>6.5068709023160433E-6</v>
      </c>
      <c r="L2842" s="4">
        <f t="shared" si="1489"/>
        <v>6.5068709023160433E-6</v>
      </c>
      <c r="M2842" s="4">
        <f t="shared" si="1489"/>
        <v>6.5068709023160433E-6</v>
      </c>
      <c r="N2842" t="s">
        <v>256</v>
      </c>
      <c r="O2842" t="s">
        <v>280</v>
      </c>
      <c r="P2842" t="s">
        <v>424</v>
      </c>
      <c r="Q2842" s="4" t="s">
        <v>245</v>
      </c>
    </row>
    <row r="2843" spans="1:17" x14ac:dyDescent="0.25">
      <c r="A2843" t="s">
        <v>424</v>
      </c>
      <c r="B2843" t="s">
        <v>92</v>
      </c>
      <c r="C2843" s="4">
        <f t="shared" ref="C2843:M2843" si="1490">(0.752028927432513/(0.0900940072589024+0.00396421732885982+0.0572052587068733+0.752028927432513)) * 0.0102745922953709%</f>
        <v>8.5540302696378133E-5</v>
      </c>
      <c r="D2843" s="4">
        <f t="shared" si="1490"/>
        <v>8.5540302696378133E-5</v>
      </c>
      <c r="E2843" s="4">
        <f t="shared" si="1490"/>
        <v>8.5540302696378133E-5</v>
      </c>
      <c r="F2843" s="4">
        <f t="shared" si="1490"/>
        <v>8.5540302696378133E-5</v>
      </c>
      <c r="G2843" s="4">
        <f t="shared" si="1490"/>
        <v>8.5540302696378133E-5</v>
      </c>
      <c r="H2843" s="4">
        <f t="shared" si="1490"/>
        <v>8.5540302696378133E-5</v>
      </c>
      <c r="I2843" s="4">
        <f t="shared" si="1490"/>
        <v>8.5540302696378133E-5</v>
      </c>
      <c r="J2843" s="4">
        <f t="shared" si="1490"/>
        <v>8.5540302696378133E-5</v>
      </c>
      <c r="K2843" s="4">
        <f t="shared" si="1490"/>
        <v>8.5540302696378133E-5</v>
      </c>
      <c r="L2843" s="4">
        <f t="shared" si="1490"/>
        <v>8.5540302696378133E-5</v>
      </c>
      <c r="M2843" s="4">
        <f t="shared" si="1490"/>
        <v>8.5540302696378133E-5</v>
      </c>
      <c r="N2843" t="s">
        <v>256</v>
      </c>
      <c r="O2843" t="s">
        <v>354</v>
      </c>
      <c r="P2843" t="s">
        <v>424</v>
      </c>
      <c r="Q2843" s="4" t="s">
        <v>245</v>
      </c>
    </row>
    <row r="2844" spans="1:17" x14ac:dyDescent="0.25">
      <c r="A2844" t="s">
        <v>424</v>
      </c>
      <c r="B2844" t="s">
        <v>93</v>
      </c>
      <c r="C2844" s="4">
        <f t="shared" ref="C2844:M2844" si="1491">(0.0900940072589024/(0.0900940072589024+0.00396421732885982+0.0572052587068733+0.752028927432513)) * 0.1549261738252%</f>
        <v>1.5452271782030635E-4</v>
      </c>
      <c r="D2844" s="4">
        <f t="shared" si="1491"/>
        <v>1.5452271782030635E-4</v>
      </c>
      <c r="E2844" s="4">
        <f t="shared" si="1491"/>
        <v>1.5452271782030635E-4</v>
      </c>
      <c r="F2844" s="4">
        <f t="shared" si="1491"/>
        <v>1.5452271782030635E-4</v>
      </c>
      <c r="G2844" s="4">
        <f t="shared" si="1491"/>
        <v>1.5452271782030635E-4</v>
      </c>
      <c r="H2844" s="4">
        <f t="shared" si="1491"/>
        <v>1.5452271782030635E-4</v>
      </c>
      <c r="I2844" s="4">
        <f t="shared" si="1491"/>
        <v>1.5452271782030635E-4</v>
      </c>
      <c r="J2844" s="4">
        <f t="shared" si="1491"/>
        <v>1.5452271782030635E-4</v>
      </c>
      <c r="K2844" s="4">
        <f t="shared" si="1491"/>
        <v>1.5452271782030635E-4</v>
      </c>
      <c r="L2844" s="4">
        <f t="shared" si="1491"/>
        <v>1.5452271782030635E-4</v>
      </c>
      <c r="M2844" s="4">
        <f t="shared" si="1491"/>
        <v>1.5452271782030635E-4</v>
      </c>
      <c r="N2844" t="s">
        <v>242</v>
      </c>
      <c r="O2844" t="s">
        <v>358</v>
      </c>
      <c r="P2844" t="s">
        <v>424</v>
      </c>
      <c r="Q2844" s="4" t="s">
        <v>245</v>
      </c>
    </row>
    <row r="2845" spans="1:17" x14ac:dyDescent="0.25">
      <c r="A2845" t="s">
        <v>424</v>
      </c>
      <c r="B2845" t="s">
        <v>93</v>
      </c>
      <c r="C2845" s="4">
        <f t="shared" ref="C2845:M2845" si="1492">(0.00396421732885982/(0.0900940072589024+0.00396421732885982+0.0572052587068733+0.752028927432513))  * 0.1549261738252%</f>
        <v>6.7991385256675447E-6</v>
      </c>
      <c r="D2845" s="4">
        <f t="shared" si="1492"/>
        <v>6.7991385256675447E-6</v>
      </c>
      <c r="E2845" s="4">
        <f t="shared" si="1492"/>
        <v>6.7991385256675447E-6</v>
      </c>
      <c r="F2845" s="4">
        <f t="shared" si="1492"/>
        <v>6.7991385256675447E-6</v>
      </c>
      <c r="G2845" s="4">
        <f t="shared" si="1492"/>
        <v>6.7991385256675447E-6</v>
      </c>
      <c r="H2845" s="4">
        <f t="shared" si="1492"/>
        <v>6.7991385256675447E-6</v>
      </c>
      <c r="I2845" s="4">
        <f t="shared" si="1492"/>
        <v>6.7991385256675447E-6</v>
      </c>
      <c r="J2845" s="4">
        <f t="shared" si="1492"/>
        <v>6.7991385256675447E-6</v>
      </c>
      <c r="K2845" s="4">
        <f t="shared" si="1492"/>
        <v>6.7991385256675447E-6</v>
      </c>
      <c r="L2845" s="4">
        <f t="shared" si="1492"/>
        <v>6.7991385256675447E-6</v>
      </c>
      <c r="M2845" s="4">
        <f t="shared" si="1492"/>
        <v>6.7991385256675447E-6</v>
      </c>
      <c r="N2845" t="s">
        <v>256</v>
      </c>
      <c r="O2845" t="s">
        <v>353</v>
      </c>
      <c r="P2845" t="s">
        <v>424</v>
      </c>
      <c r="Q2845" s="4" t="s">
        <v>245</v>
      </c>
    </row>
    <row r="2846" spans="1:17" x14ac:dyDescent="0.25">
      <c r="A2846" t="s">
        <v>424</v>
      </c>
      <c r="B2846" t="s">
        <v>93</v>
      </c>
      <c r="C2846" s="4">
        <f t="shared" ref="C2846:M2846" si="1493">(0.0572052587068733/(0.0900940072589024+0.00396421732885982+0.0572052587068733+0.752028927432513)) * 0.1549261738252%</f>
        <v>9.8114317677065619E-5</v>
      </c>
      <c r="D2846" s="4">
        <f t="shared" si="1493"/>
        <v>9.8114317677065619E-5</v>
      </c>
      <c r="E2846" s="4">
        <f t="shared" si="1493"/>
        <v>9.8114317677065619E-5</v>
      </c>
      <c r="F2846" s="4">
        <f t="shared" si="1493"/>
        <v>9.8114317677065619E-5</v>
      </c>
      <c r="G2846" s="4">
        <f t="shared" si="1493"/>
        <v>9.8114317677065619E-5</v>
      </c>
      <c r="H2846" s="4">
        <f t="shared" si="1493"/>
        <v>9.8114317677065619E-5</v>
      </c>
      <c r="I2846" s="4">
        <f t="shared" si="1493"/>
        <v>9.8114317677065619E-5</v>
      </c>
      <c r="J2846" s="4">
        <f t="shared" si="1493"/>
        <v>9.8114317677065619E-5</v>
      </c>
      <c r="K2846" s="4">
        <f t="shared" si="1493"/>
        <v>9.8114317677065619E-5</v>
      </c>
      <c r="L2846" s="4">
        <f t="shared" si="1493"/>
        <v>9.8114317677065619E-5</v>
      </c>
      <c r="M2846" s="4">
        <f t="shared" si="1493"/>
        <v>9.8114317677065619E-5</v>
      </c>
      <c r="N2846" t="s">
        <v>256</v>
      </c>
      <c r="O2846" t="s">
        <v>280</v>
      </c>
      <c r="P2846" t="s">
        <v>424</v>
      </c>
      <c r="Q2846" s="4" t="s">
        <v>245</v>
      </c>
    </row>
    <row r="2847" spans="1:17" x14ac:dyDescent="0.25">
      <c r="A2847" t="s">
        <v>424</v>
      </c>
      <c r="B2847" t="s">
        <v>93</v>
      </c>
      <c r="C2847" s="4">
        <f t="shared" ref="C2847:M2847" si="1494">(0.752028927432513/(0.0900940072589024+0.00396421732885982+0.0572052587068733+0.752028927432513)) * 0.1549261738252%</f>
        <v>1.2898255642289605E-3</v>
      </c>
      <c r="D2847" s="4">
        <f t="shared" si="1494"/>
        <v>1.2898255642289605E-3</v>
      </c>
      <c r="E2847" s="4">
        <f t="shared" si="1494"/>
        <v>1.2898255642289605E-3</v>
      </c>
      <c r="F2847" s="4">
        <f t="shared" si="1494"/>
        <v>1.2898255642289605E-3</v>
      </c>
      <c r="G2847" s="4">
        <f t="shared" si="1494"/>
        <v>1.2898255642289605E-3</v>
      </c>
      <c r="H2847" s="4">
        <f t="shared" si="1494"/>
        <v>1.2898255642289605E-3</v>
      </c>
      <c r="I2847" s="4">
        <f t="shared" si="1494"/>
        <v>1.2898255642289605E-3</v>
      </c>
      <c r="J2847" s="4">
        <f t="shared" si="1494"/>
        <v>1.2898255642289605E-3</v>
      </c>
      <c r="K2847" s="4">
        <f t="shared" si="1494"/>
        <v>1.2898255642289605E-3</v>
      </c>
      <c r="L2847" s="4">
        <f t="shared" si="1494"/>
        <v>1.2898255642289605E-3</v>
      </c>
      <c r="M2847" s="4">
        <f t="shared" si="1494"/>
        <v>1.2898255642289605E-3</v>
      </c>
      <c r="N2847" t="s">
        <v>256</v>
      </c>
      <c r="O2847" t="s">
        <v>354</v>
      </c>
      <c r="P2847" t="s">
        <v>424</v>
      </c>
      <c r="Q2847" s="4" t="s">
        <v>245</v>
      </c>
    </row>
    <row r="2848" spans="1:17" x14ac:dyDescent="0.25">
      <c r="A2848" t="s">
        <v>424</v>
      </c>
      <c r="B2848" t="s">
        <v>196</v>
      </c>
      <c r="C2848" s="4">
        <f t="shared" ref="C2848:M2848" si="1495">(0.0900940072589024/(0.0900940072589024+0.00396421732885982+0.0572052587068733+0.752028927432513)) * 0.24728301616939%</f>
        <v>2.466390461072731E-4</v>
      </c>
      <c r="D2848" s="4">
        <f t="shared" si="1495"/>
        <v>2.466390461072731E-4</v>
      </c>
      <c r="E2848" s="4">
        <f t="shared" si="1495"/>
        <v>2.466390461072731E-4</v>
      </c>
      <c r="F2848" s="4">
        <f t="shared" si="1495"/>
        <v>2.466390461072731E-4</v>
      </c>
      <c r="G2848" s="4">
        <f t="shared" si="1495"/>
        <v>2.466390461072731E-4</v>
      </c>
      <c r="H2848" s="4">
        <f t="shared" si="1495"/>
        <v>2.466390461072731E-4</v>
      </c>
      <c r="I2848" s="4">
        <f t="shared" si="1495"/>
        <v>2.466390461072731E-4</v>
      </c>
      <c r="J2848" s="4">
        <f t="shared" si="1495"/>
        <v>2.466390461072731E-4</v>
      </c>
      <c r="K2848" s="4">
        <f t="shared" si="1495"/>
        <v>2.466390461072731E-4</v>
      </c>
      <c r="L2848" s="4">
        <f t="shared" si="1495"/>
        <v>2.466390461072731E-4</v>
      </c>
      <c r="M2848" s="4">
        <f t="shared" si="1495"/>
        <v>2.466390461072731E-4</v>
      </c>
      <c r="N2848" t="s">
        <v>242</v>
      </c>
      <c r="O2848" t="s">
        <v>358</v>
      </c>
      <c r="P2848" t="s">
        <v>424</v>
      </c>
      <c r="Q2848" s="4" t="s">
        <v>245</v>
      </c>
    </row>
    <row r="2849" spans="1:17" x14ac:dyDescent="0.25">
      <c r="A2849" t="s">
        <v>424</v>
      </c>
      <c r="B2849" t="s">
        <v>196</v>
      </c>
      <c r="C2849" s="4">
        <f t="shared" ref="C2849:M2849" si="1496">(0.00396421732885982/(0.0900940072589024+0.00396421732885982+0.0572052587068733+0.752028927432513))  * 0.24728301616939%</f>
        <v>1.0852339798164504E-5</v>
      </c>
      <c r="D2849" s="4">
        <f t="shared" si="1496"/>
        <v>1.0852339798164504E-5</v>
      </c>
      <c r="E2849" s="4">
        <f t="shared" si="1496"/>
        <v>1.0852339798164504E-5</v>
      </c>
      <c r="F2849" s="4">
        <f t="shared" si="1496"/>
        <v>1.0852339798164504E-5</v>
      </c>
      <c r="G2849" s="4">
        <f t="shared" si="1496"/>
        <v>1.0852339798164504E-5</v>
      </c>
      <c r="H2849" s="4">
        <f t="shared" si="1496"/>
        <v>1.0852339798164504E-5</v>
      </c>
      <c r="I2849" s="4">
        <f t="shared" si="1496"/>
        <v>1.0852339798164504E-5</v>
      </c>
      <c r="J2849" s="4">
        <f t="shared" si="1496"/>
        <v>1.0852339798164504E-5</v>
      </c>
      <c r="K2849" s="4">
        <f t="shared" si="1496"/>
        <v>1.0852339798164504E-5</v>
      </c>
      <c r="L2849" s="4">
        <f t="shared" si="1496"/>
        <v>1.0852339798164504E-5</v>
      </c>
      <c r="M2849" s="4">
        <f t="shared" si="1496"/>
        <v>1.0852339798164504E-5</v>
      </c>
      <c r="N2849" t="s">
        <v>256</v>
      </c>
      <c r="O2849" t="s">
        <v>353</v>
      </c>
      <c r="P2849" t="s">
        <v>424</v>
      </c>
      <c r="Q2849" s="4" t="s">
        <v>245</v>
      </c>
    </row>
    <row r="2850" spans="1:17" x14ac:dyDescent="0.25">
      <c r="A2850" t="s">
        <v>424</v>
      </c>
      <c r="B2850" t="s">
        <v>196</v>
      </c>
      <c r="C2850" s="4">
        <f t="shared" ref="C2850:M2850" si="1497">(0.0572052587068733/(0.0900940072589024+0.00396421732885982+0.0572052587068733+0.752028927432513)) * 0.24728301616939%</f>
        <v>1.5660365066499869E-4</v>
      </c>
      <c r="D2850" s="4">
        <f t="shared" si="1497"/>
        <v>1.5660365066499869E-4</v>
      </c>
      <c r="E2850" s="4">
        <f t="shared" si="1497"/>
        <v>1.5660365066499869E-4</v>
      </c>
      <c r="F2850" s="4">
        <f t="shared" si="1497"/>
        <v>1.5660365066499869E-4</v>
      </c>
      <c r="G2850" s="4">
        <f t="shared" si="1497"/>
        <v>1.5660365066499869E-4</v>
      </c>
      <c r="H2850" s="4">
        <f t="shared" si="1497"/>
        <v>1.5660365066499869E-4</v>
      </c>
      <c r="I2850" s="4">
        <f t="shared" si="1497"/>
        <v>1.5660365066499869E-4</v>
      </c>
      <c r="J2850" s="4">
        <f t="shared" si="1497"/>
        <v>1.5660365066499869E-4</v>
      </c>
      <c r="K2850" s="4">
        <f t="shared" si="1497"/>
        <v>1.5660365066499869E-4</v>
      </c>
      <c r="L2850" s="4">
        <f t="shared" si="1497"/>
        <v>1.5660365066499869E-4</v>
      </c>
      <c r="M2850" s="4">
        <f t="shared" si="1497"/>
        <v>1.5660365066499869E-4</v>
      </c>
      <c r="N2850" t="s">
        <v>256</v>
      </c>
      <c r="O2850" t="s">
        <v>280</v>
      </c>
      <c r="P2850" t="s">
        <v>424</v>
      </c>
      <c r="Q2850" s="4" t="s">
        <v>245</v>
      </c>
    </row>
    <row r="2851" spans="1:17" x14ac:dyDescent="0.25">
      <c r="A2851" t="s">
        <v>424</v>
      </c>
      <c r="B2851" t="s">
        <v>196</v>
      </c>
      <c r="C2851" s="4">
        <f t="shared" ref="C2851:M2851" si="1498">(0.752028927432513/(0.0900940072589024+0.00396421732885982+0.0572052587068733+0.752028927432513)) * 0.24728301616939%</f>
        <v>2.058735125123464E-3</v>
      </c>
      <c r="D2851" s="4">
        <f t="shared" si="1498"/>
        <v>2.058735125123464E-3</v>
      </c>
      <c r="E2851" s="4">
        <f t="shared" si="1498"/>
        <v>2.058735125123464E-3</v>
      </c>
      <c r="F2851" s="4">
        <f t="shared" si="1498"/>
        <v>2.058735125123464E-3</v>
      </c>
      <c r="G2851" s="4">
        <f t="shared" si="1498"/>
        <v>2.058735125123464E-3</v>
      </c>
      <c r="H2851" s="4">
        <f t="shared" si="1498"/>
        <v>2.058735125123464E-3</v>
      </c>
      <c r="I2851" s="4">
        <f t="shared" si="1498"/>
        <v>2.058735125123464E-3</v>
      </c>
      <c r="J2851" s="4">
        <f t="shared" si="1498"/>
        <v>2.058735125123464E-3</v>
      </c>
      <c r="K2851" s="4">
        <f t="shared" si="1498"/>
        <v>2.058735125123464E-3</v>
      </c>
      <c r="L2851" s="4">
        <f t="shared" si="1498"/>
        <v>2.058735125123464E-3</v>
      </c>
      <c r="M2851" s="4">
        <f t="shared" si="1498"/>
        <v>2.058735125123464E-3</v>
      </c>
      <c r="N2851" t="s">
        <v>256</v>
      </c>
      <c r="O2851" t="s">
        <v>354</v>
      </c>
      <c r="P2851" t="s">
        <v>424</v>
      </c>
      <c r="Q2851" s="4" t="s">
        <v>245</v>
      </c>
    </row>
    <row r="2852" spans="1:17" x14ac:dyDescent="0.25">
      <c r="A2852" t="s">
        <v>424</v>
      </c>
      <c r="B2852" t="s">
        <v>197</v>
      </c>
      <c r="C2852" s="4">
        <f t="shared" ref="C2852:M2852" si="1499">(0.0900940072589024/(0.0900940072589024+0.00396421732885982+0.0572052587068733+0.752028927432513)) * 0.115945104556013%</f>
        <v>1.1564316236305648E-4</v>
      </c>
      <c r="D2852" s="4">
        <f t="shared" si="1499"/>
        <v>1.1564316236305648E-4</v>
      </c>
      <c r="E2852" s="4">
        <f t="shared" si="1499"/>
        <v>1.1564316236305648E-4</v>
      </c>
      <c r="F2852" s="4">
        <f t="shared" si="1499"/>
        <v>1.1564316236305648E-4</v>
      </c>
      <c r="G2852" s="4">
        <f t="shared" si="1499"/>
        <v>1.1564316236305648E-4</v>
      </c>
      <c r="H2852" s="4">
        <f t="shared" si="1499"/>
        <v>1.1564316236305648E-4</v>
      </c>
      <c r="I2852" s="4">
        <f t="shared" si="1499"/>
        <v>1.1564316236305648E-4</v>
      </c>
      <c r="J2852" s="4">
        <f t="shared" si="1499"/>
        <v>1.1564316236305648E-4</v>
      </c>
      <c r="K2852" s="4">
        <f t="shared" si="1499"/>
        <v>1.1564316236305648E-4</v>
      </c>
      <c r="L2852" s="4">
        <f t="shared" si="1499"/>
        <v>1.1564316236305648E-4</v>
      </c>
      <c r="M2852" s="4">
        <f t="shared" si="1499"/>
        <v>1.1564316236305648E-4</v>
      </c>
      <c r="N2852" t="s">
        <v>242</v>
      </c>
      <c r="O2852" t="s">
        <v>358</v>
      </c>
      <c r="P2852" t="s">
        <v>424</v>
      </c>
      <c r="Q2852" s="4" t="s">
        <v>245</v>
      </c>
    </row>
    <row r="2853" spans="1:17" x14ac:dyDescent="0.25">
      <c r="A2853" t="s">
        <v>424</v>
      </c>
      <c r="B2853" t="s">
        <v>197</v>
      </c>
      <c r="C2853" s="4">
        <f t="shared" ref="C2853:M2853" si="1500">(0.00396421732885982/(0.0900940072589024+0.00396421732885982+0.0572052587068733+0.752028927432513))  * 0.115945104556013%</f>
        <v>5.0884031263741937E-6</v>
      </c>
      <c r="D2853" s="4">
        <f t="shared" si="1500"/>
        <v>5.0884031263741937E-6</v>
      </c>
      <c r="E2853" s="4">
        <f t="shared" si="1500"/>
        <v>5.0884031263741937E-6</v>
      </c>
      <c r="F2853" s="4">
        <f t="shared" si="1500"/>
        <v>5.0884031263741937E-6</v>
      </c>
      <c r="G2853" s="4">
        <f t="shared" si="1500"/>
        <v>5.0884031263741937E-6</v>
      </c>
      <c r="H2853" s="4">
        <f t="shared" si="1500"/>
        <v>5.0884031263741937E-6</v>
      </c>
      <c r="I2853" s="4">
        <f t="shared" si="1500"/>
        <v>5.0884031263741937E-6</v>
      </c>
      <c r="J2853" s="4">
        <f t="shared" si="1500"/>
        <v>5.0884031263741937E-6</v>
      </c>
      <c r="K2853" s="4">
        <f t="shared" si="1500"/>
        <v>5.0884031263741937E-6</v>
      </c>
      <c r="L2853" s="4">
        <f t="shared" si="1500"/>
        <v>5.0884031263741937E-6</v>
      </c>
      <c r="M2853" s="4">
        <f t="shared" si="1500"/>
        <v>5.0884031263741937E-6</v>
      </c>
      <c r="N2853" t="s">
        <v>256</v>
      </c>
      <c r="O2853" t="s">
        <v>353</v>
      </c>
      <c r="P2853" t="s">
        <v>424</v>
      </c>
      <c r="Q2853" s="4" t="s">
        <v>245</v>
      </c>
    </row>
    <row r="2854" spans="1:17" x14ac:dyDescent="0.25">
      <c r="A2854" t="s">
        <v>424</v>
      </c>
      <c r="B2854" t="s">
        <v>197</v>
      </c>
      <c r="C2854" s="4">
        <f t="shared" ref="C2854:M2854" si="1501">(0.0572052587068733/(0.0900940072589024+0.00396421732885982+0.0572052587068733+0.752028927432513)) * 0.115945104556013%</f>
        <v>7.3427714250171906E-5</v>
      </c>
      <c r="D2854" s="4">
        <f t="shared" si="1501"/>
        <v>7.3427714250171906E-5</v>
      </c>
      <c r="E2854" s="4">
        <f t="shared" si="1501"/>
        <v>7.3427714250171906E-5</v>
      </c>
      <c r="F2854" s="4">
        <f t="shared" si="1501"/>
        <v>7.3427714250171906E-5</v>
      </c>
      <c r="G2854" s="4">
        <f t="shared" si="1501"/>
        <v>7.3427714250171906E-5</v>
      </c>
      <c r="H2854" s="4">
        <f t="shared" si="1501"/>
        <v>7.3427714250171906E-5</v>
      </c>
      <c r="I2854" s="4">
        <f t="shared" si="1501"/>
        <v>7.3427714250171906E-5</v>
      </c>
      <c r="J2854" s="4">
        <f t="shared" si="1501"/>
        <v>7.3427714250171906E-5</v>
      </c>
      <c r="K2854" s="4">
        <f t="shared" si="1501"/>
        <v>7.3427714250171906E-5</v>
      </c>
      <c r="L2854" s="4">
        <f t="shared" si="1501"/>
        <v>7.3427714250171906E-5</v>
      </c>
      <c r="M2854" s="4">
        <f t="shared" si="1501"/>
        <v>7.3427714250171906E-5</v>
      </c>
      <c r="N2854" t="s">
        <v>256</v>
      </c>
      <c r="O2854" t="s">
        <v>280</v>
      </c>
      <c r="P2854" t="s">
        <v>424</v>
      </c>
      <c r="Q2854" s="4" t="s">
        <v>245</v>
      </c>
    </row>
    <row r="2855" spans="1:17" x14ac:dyDescent="0.25">
      <c r="A2855" t="s">
        <v>424</v>
      </c>
      <c r="B2855" t="s">
        <v>197</v>
      </c>
      <c r="C2855" s="4">
        <f t="shared" ref="C2855:M2855" si="1502">(0.752028927432513/(0.0900940072589024+0.00396421732885982+0.0572052587068733+0.752028927432513)) * 0.115945104556013%</f>
        <v>9.652917658205275E-4</v>
      </c>
      <c r="D2855" s="4">
        <f t="shared" si="1502"/>
        <v>9.652917658205275E-4</v>
      </c>
      <c r="E2855" s="4">
        <f t="shared" si="1502"/>
        <v>9.652917658205275E-4</v>
      </c>
      <c r="F2855" s="4">
        <f t="shared" si="1502"/>
        <v>9.652917658205275E-4</v>
      </c>
      <c r="G2855" s="4">
        <f t="shared" si="1502"/>
        <v>9.652917658205275E-4</v>
      </c>
      <c r="H2855" s="4">
        <f t="shared" si="1502"/>
        <v>9.652917658205275E-4</v>
      </c>
      <c r="I2855" s="4">
        <f t="shared" si="1502"/>
        <v>9.652917658205275E-4</v>
      </c>
      <c r="J2855" s="4">
        <f t="shared" si="1502"/>
        <v>9.652917658205275E-4</v>
      </c>
      <c r="K2855" s="4">
        <f t="shared" si="1502"/>
        <v>9.652917658205275E-4</v>
      </c>
      <c r="L2855" s="4">
        <f t="shared" si="1502"/>
        <v>9.652917658205275E-4</v>
      </c>
      <c r="M2855" s="4">
        <f t="shared" si="1502"/>
        <v>9.652917658205275E-4</v>
      </c>
      <c r="N2855" t="s">
        <v>256</v>
      </c>
      <c r="O2855" t="s">
        <v>354</v>
      </c>
      <c r="P2855" t="s">
        <v>424</v>
      </c>
      <c r="Q2855" s="4" t="s">
        <v>245</v>
      </c>
    </row>
    <row r="2856" spans="1:17" x14ac:dyDescent="0.25">
      <c r="A2856" t="s">
        <v>424</v>
      </c>
      <c r="B2856" t="s">
        <v>97</v>
      </c>
      <c r="C2856" s="4">
        <f t="shared" ref="C2856:M2856" si="1503">(0.0900940072589024/(0.0900940072589024+0.00396421732885982+0.0572052587068733+0.752028927432513)) * 2.44815939779382%</f>
        <v>2.4417839443401567E-3</v>
      </c>
      <c r="D2856" s="4">
        <f t="shared" si="1503"/>
        <v>2.4417839443401567E-3</v>
      </c>
      <c r="E2856" s="4">
        <f t="shared" si="1503"/>
        <v>2.4417839443401567E-3</v>
      </c>
      <c r="F2856" s="4">
        <f t="shared" si="1503"/>
        <v>2.4417839443401567E-3</v>
      </c>
      <c r="G2856" s="4">
        <f t="shared" si="1503"/>
        <v>2.4417839443401567E-3</v>
      </c>
      <c r="H2856" s="4">
        <f t="shared" si="1503"/>
        <v>2.4417839443401567E-3</v>
      </c>
      <c r="I2856" s="4">
        <f t="shared" si="1503"/>
        <v>2.4417839443401567E-3</v>
      </c>
      <c r="J2856" s="4">
        <f t="shared" si="1503"/>
        <v>2.4417839443401567E-3</v>
      </c>
      <c r="K2856" s="4">
        <f t="shared" si="1503"/>
        <v>2.4417839443401567E-3</v>
      </c>
      <c r="L2856" s="4">
        <f t="shared" si="1503"/>
        <v>2.4417839443401567E-3</v>
      </c>
      <c r="M2856" s="4">
        <f t="shared" si="1503"/>
        <v>2.4417839443401567E-3</v>
      </c>
      <c r="N2856" t="s">
        <v>242</v>
      </c>
      <c r="O2856" t="s">
        <v>358</v>
      </c>
      <c r="P2856" t="s">
        <v>424</v>
      </c>
      <c r="Q2856" s="4" t="s">
        <v>245</v>
      </c>
    </row>
    <row r="2857" spans="1:17" x14ac:dyDescent="0.25">
      <c r="A2857" t="s">
        <v>424</v>
      </c>
      <c r="B2857" t="s">
        <v>97</v>
      </c>
      <c r="C2857" s="4">
        <f t="shared" ref="C2857:M2857" si="1504">(0.00396421732885982/(0.0900940072589024+0.00396421732885982+0.0572052587068733+0.752028927432513))  * 2.44815939779382%</f>
        <v>1.0744068912006857E-4</v>
      </c>
      <c r="D2857" s="4">
        <f t="shared" si="1504"/>
        <v>1.0744068912006857E-4</v>
      </c>
      <c r="E2857" s="4">
        <f t="shared" si="1504"/>
        <v>1.0744068912006857E-4</v>
      </c>
      <c r="F2857" s="4">
        <f t="shared" si="1504"/>
        <v>1.0744068912006857E-4</v>
      </c>
      <c r="G2857" s="4">
        <f t="shared" si="1504"/>
        <v>1.0744068912006857E-4</v>
      </c>
      <c r="H2857" s="4">
        <f t="shared" si="1504"/>
        <v>1.0744068912006857E-4</v>
      </c>
      <c r="I2857" s="4">
        <f t="shared" si="1504"/>
        <v>1.0744068912006857E-4</v>
      </c>
      <c r="J2857" s="4">
        <f t="shared" si="1504"/>
        <v>1.0744068912006857E-4</v>
      </c>
      <c r="K2857" s="4">
        <f t="shared" si="1504"/>
        <v>1.0744068912006857E-4</v>
      </c>
      <c r="L2857" s="4">
        <f t="shared" si="1504"/>
        <v>1.0744068912006857E-4</v>
      </c>
      <c r="M2857" s="4">
        <f t="shared" si="1504"/>
        <v>1.0744068912006857E-4</v>
      </c>
      <c r="N2857" t="s">
        <v>256</v>
      </c>
      <c r="O2857" t="s">
        <v>353</v>
      </c>
      <c r="P2857" t="s">
        <v>424</v>
      </c>
      <c r="Q2857" s="4" t="s">
        <v>245</v>
      </c>
    </row>
    <row r="2858" spans="1:17" x14ac:dyDescent="0.25">
      <c r="A2858" t="s">
        <v>424</v>
      </c>
      <c r="B2858" t="s">
        <v>97</v>
      </c>
      <c r="C2858" s="4">
        <f t="shared" ref="C2858:M2858" si="1505">(0.0572052587068733/(0.0900940072589024+0.00396421732885982+0.0572052587068733+0.752028927432513)) * 2.44815939779382%</f>
        <v>1.5504125800605431E-3</v>
      </c>
      <c r="D2858" s="4">
        <f t="shared" si="1505"/>
        <v>1.5504125800605431E-3</v>
      </c>
      <c r="E2858" s="4">
        <f t="shared" si="1505"/>
        <v>1.5504125800605431E-3</v>
      </c>
      <c r="F2858" s="4">
        <f t="shared" si="1505"/>
        <v>1.5504125800605431E-3</v>
      </c>
      <c r="G2858" s="4">
        <f t="shared" si="1505"/>
        <v>1.5504125800605431E-3</v>
      </c>
      <c r="H2858" s="4">
        <f t="shared" si="1505"/>
        <v>1.5504125800605431E-3</v>
      </c>
      <c r="I2858" s="4">
        <f t="shared" si="1505"/>
        <v>1.5504125800605431E-3</v>
      </c>
      <c r="J2858" s="4">
        <f t="shared" si="1505"/>
        <v>1.5504125800605431E-3</v>
      </c>
      <c r="K2858" s="4">
        <f t="shared" si="1505"/>
        <v>1.5504125800605431E-3</v>
      </c>
      <c r="L2858" s="4">
        <f t="shared" si="1505"/>
        <v>1.5504125800605431E-3</v>
      </c>
      <c r="M2858" s="4">
        <f t="shared" si="1505"/>
        <v>1.5504125800605431E-3</v>
      </c>
      <c r="N2858" t="s">
        <v>256</v>
      </c>
      <c r="O2858" t="s">
        <v>280</v>
      </c>
      <c r="P2858" t="s">
        <v>424</v>
      </c>
      <c r="Q2858" s="4" t="s">
        <v>245</v>
      </c>
    </row>
    <row r="2859" spans="1:17" x14ac:dyDescent="0.25">
      <c r="A2859" t="s">
        <v>424</v>
      </c>
      <c r="B2859" t="s">
        <v>97</v>
      </c>
      <c r="C2859" s="4">
        <f t="shared" ref="C2859:M2859" si="1506">(0.752028927432513/(0.0900940072589024+0.00396421732885982+0.0572052587068733+0.752028927432513)) * 2.44815939779382%</f>
        <v>2.0381956764417435E-2</v>
      </c>
      <c r="D2859" s="4">
        <f t="shared" si="1506"/>
        <v>2.0381956764417435E-2</v>
      </c>
      <c r="E2859" s="4">
        <f t="shared" si="1506"/>
        <v>2.0381956764417435E-2</v>
      </c>
      <c r="F2859" s="4">
        <f t="shared" si="1506"/>
        <v>2.0381956764417435E-2</v>
      </c>
      <c r="G2859" s="4">
        <f t="shared" si="1506"/>
        <v>2.0381956764417435E-2</v>
      </c>
      <c r="H2859" s="4">
        <f t="shared" si="1506"/>
        <v>2.0381956764417435E-2</v>
      </c>
      <c r="I2859" s="4">
        <f t="shared" si="1506"/>
        <v>2.0381956764417435E-2</v>
      </c>
      <c r="J2859" s="4">
        <f t="shared" si="1506"/>
        <v>2.0381956764417435E-2</v>
      </c>
      <c r="K2859" s="4">
        <f t="shared" si="1506"/>
        <v>2.0381956764417435E-2</v>
      </c>
      <c r="L2859" s="4">
        <f t="shared" si="1506"/>
        <v>2.0381956764417435E-2</v>
      </c>
      <c r="M2859" s="4">
        <f t="shared" si="1506"/>
        <v>2.0381956764417435E-2</v>
      </c>
      <c r="N2859" t="s">
        <v>256</v>
      </c>
      <c r="O2859" t="s">
        <v>354</v>
      </c>
      <c r="P2859" t="s">
        <v>424</v>
      </c>
      <c r="Q2859" s="4" t="s">
        <v>245</v>
      </c>
    </row>
    <row r="2860" spans="1:17" x14ac:dyDescent="0.25">
      <c r="A2860" t="s">
        <v>424</v>
      </c>
      <c r="B2860" t="s">
        <v>98</v>
      </c>
      <c r="C2860" s="4">
        <f t="shared" ref="C2860:M2860" si="1507">(0.0900940072589024/(0.0900940072589024+0.00396421732885982+0.0572052587068733+0.752028927432513)) * 1.34012608157698%</f>
        <v>1.3366361489104905E-3</v>
      </c>
      <c r="D2860" s="4">
        <f t="shared" si="1507"/>
        <v>1.3366361489104905E-3</v>
      </c>
      <c r="E2860" s="4">
        <f t="shared" si="1507"/>
        <v>1.3366361489104905E-3</v>
      </c>
      <c r="F2860" s="4">
        <f t="shared" si="1507"/>
        <v>1.3366361489104905E-3</v>
      </c>
      <c r="G2860" s="4">
        <f t="shared" si="1507"/>
        <v>1.3366361489104905E-3</v>
      </c>
      <c r="H2860" s="4">
        <f t="shared" si="1507"/>
        <v>1.3366361489104905E-3</v>
      </c>
      <c r="I2860" s="4">
        <f t="shared" si="1507"/>
        <v>1.3366361489104905E-3</v>
      </c>
      <c r="J2860" s="4">
        <f t="shared" si="1507"/>
        <v>1.3366361489104905E-3</v>
      </c>
      <c r="K2860" s="4">
        <f t="shared" si="1507"/>
        <v>1.3366361489104905E-3</v>
      </c>
      <c r="L2860" s="4">
        <f t="shared" si="1507"/>
        <v>1.3366361489104905E-3</v>
      </c>
      <c r="M2860" s="4">
        <f t="shared" si="1507"/>
        <v>1.3366361489104905E-3</v>
      </c>
      <c r="N2860" t="s">
        <v>242</v>
      </c>
      <c r="O2860" t="s">
        <v>358</v>
      </c>
      <c r="P2860" t="s">
        <v>424</v>
      </c>
      <c r="Q2860" s="4" t="s">
        <v>245</v>
      </c>
    </row>
    <row r="2861" spans="1:17" x14ac:dyDescent="0.25">
      <c r="A2861" t="s">
        <v>424</v>
      </c>
      <c r="B2861" t="s">
        <v>98</v>
      </c>
      <c r="C2861" s="4">
        <f t="shared" ref="C2861:M2861" si="1508">(0.00396421732885982/(0.0900940072589024+0.00396421732885982+0.0572052587068733+0.752028927432513))  * 1.34012608157698%</f>
        <v>5.8813192409840814E-5</v>
      </c>
      <c r="D2861" s="4">
        <f t="shared" si="1508"/>
        <v>5.8813192409840814E-5</v>
      </c>
      <c r="E2861" s="4">
        <f t="shared" si="1508"/>
        <v>5.8813192409840814E-5</v>
      </c>
      <c r="F2861" s="4">
        <f t="shared" si="1508"/>
        <v>5.8813192409840814E-5</v>
      </c>
      <c r="G2861" s="4">
        <f t="shared" si="1508"/>
        <v>5.8813192409840814E-5</v>
      </c>
      <c r="H2861" s="4">
        <f t="shared" si="1508"/>
        <v>5.8813192409840814E-5</v>
      </c>
      <c r="I2861" s="4">
        <f t="shared" si="1508"/>
        <v>5.8813192409840814E-5</v>
      </c>
      <c r="J2861" s="4">
        <f t="shared" si="1508"/>
        <v>5.8813192409840814E-5</v>
      </c>
      <c r="K2861" s="4">
        <f t="shared" si="1508"/>
        <v>5.8813192409840814E-5</v>
      </c>
      <c r="L2861" s="4">
        <f t="shared" si="1508"/>
        <v>5.8813192409840814E-5</v>
      </c>
      <c r="M2861" s="4">
        <f t="shared" si="1508"/>
        <v>5.8813192409840814E-5</v>
      </c>
      <c r="N2861" t="s">
        <v>256</v>
      </c>
      <c r="O2861" t="s">
        <v>353</v>
      </c>
      <c r="P2861" t="s">
        <v>424</v>
      </c>
      <c r="Q2861" s="4" t="s">
        <v>245</v>
      </c>
    </row>
    <row r="2862" spans="1:17" x14ac:dyDescent="0.25">
      <c r="A2862" t="s">
        <v>424</v>
      </c>
      <c r="B2862" t="s">
        <v>98</v>
      </c>
      <c r="C2862" s="4">
        <f t="shared" ref="C2862:M2862" si="1509">(0.0572052587068733/(0.0900940072589024+0.00396421732885982+0.0572052587068733+0.752028927432513)) *1.34012608157698%</f>
        <v>8.4869814343648225E-4</v>
      </c>
      <c r="D2862" s="4">
        <f t="shared" si="1509"/>
        <v>8.4869814343648225E-4</v>
      </c>
      <c r="E2862" s="4">
        <f t="shared" si="1509"/>
        <v>8.4869814343648225E-4</v>
      </c>
      <c r="F2862" s="4">
        <f t="shared" si="1509"/>
        <v>8.4869814343648225E-4</v>
      </c>
      <c r="G2862" s="4">
        <f t="shared" si="1509"/>
        <v>8.4869814343648225E-4</v>
      </c>
      <c r="H2862" s="4">
        <f t="shared" si="1509"/>
        <v>8.4869814343648225E-4</v>
      </c>
      <c r="I2862" s="4">
        <f t="shared" si="1509"/>
        <v>8.4869814343648225E-4</v>
      </c>
      <c r="J2862" s="4">
        <f t="shared" si="1509"/>
        <v>8.4869814343648225E-4</v>
      </c>
      <c r="K2862" s="4">
        <f t="shared" si="1509"/>
        <v>8.4869814343648225E-4</v>
      </c>
      <c r="L2862" s="4">
        <f t="shared" si="1509"/>
        <v>8.4869814343648225E-4</v>
      </c>
      <c r="M2862" s="4">
        <f t="shared" si="1509"/>
        <v>8.4869814343648225E-4</v>
      </c>
      <c r="N2862" t="s">
        <v>256</v>
      </c>
      <c r="O2862" t="s">
        <v>280</v>
      </c>
      <c r="P2862" t="s">
        <v>424</v>
      </c>
      <c r="Q2862" s="4" t="s">
        <v>245</v>
      </c>
    </row>
    <row r="2863" spans="1:17" x14ac:dyDescent="0.25">
      <c r="A2863" t="s">
        <v>424</v>
      </c>
      <c r="B2863" t="s">
        <v>98</v>
      </c>
      <c r="C2863" s="4">
        <f t="shared" ref="C2863:M2863" si="1510">(0.752028927432513/(0.0900940072589024+0.00396421732885982+0.0572052587068733+0.752028927432513)) * 1.34012608157698%</f>
        <v>1.1157113331012988E-2</v>
      </c>
      <c r="D2863" s="4">
        <f t="shared" si="1510"/>
        <v>1.1157113331012988E-2</v>
      </c>
      <c r="E2863" s="4">
        <f t="shared" si="1510"/>
        <v>1.1157113331012988E-2</v>
      </c>
      <c r="F2863" s="4">
        <f t="shared" si="1510"/>
        <v>1.1157113331012988E-2</v>
      </c>
      <c r="G2863" s="4">
        <f t="shared" si="1510"/>
        <v>1.1157113331012988E-2</v>
      </c>
      <c r="H2863" s="4">
        <f t="shared" si="1510"/>
        <v>1.1157113331012988E-2</v>
      </c>
      <c r="I2863" s="4">
        <f t="shared" si="1510"/>
        <v>1.1157113331012988E-2</v>
      </c>
      <c r="J2863" s="4">
        <f t="shared" si="1510"/>
        <v>1.1157113331012988E-2</v>
      </c>
      <c r="K2863" s="4">
        <f t="shared" si="1510"/>
        <v>1.1157113331012988E-2</v>
      </c>
      <c r="L2863" s="4">
        <f t="shared" si="1510"/>
        <v>1.1157113331012988E-2</v>
      </c>
      <c r="M2863" s="4">
        <f t="shared" si="1510"/>
        <v>1.1157113331012988E-2</v>
      </c>
      <c r="N2863" t="s">
        <v>256</v>
      </c>
      <c r="O2863" t="s">
        <v>354</v>
      </c>
      <c r="P2863" t="s">
        <v>424</v>
      </c>
      <c r="Q2863" s="4" t="s">
        <v>245</v>
      </c>
    </row>
    <row r="2864" spans="1:17" x14ac:dyDescent="0.25">
      <c r="A2864" t="s">
        <v>424</v>
      </c>
      <c r="B2864" t="s">
        <v>99</v>
      </c>
      <c r="C2864" s="4">
        <f t="shared" ref="C2864:M2864" si="1511">(0.0900940072589024/(0.0900940072589024+0.00396421732885982+0.0572052587068733+0.752028927432513)) * 0.183474862417338%</f>
        <v>1.8299706042196421E-4</v>
      </c>
      <c r="D2864" s="4">
        <f t="shared" si="1511"/>
        <v>1.8299706042196421E-4</v>
      </c>
      <c r="E2864" s="4">
        <f t="shared" si="1511"/>
        <v>1.8299706042196421E-4</v>
      </c>
      <c r="F2864" s="4">
        <f t="shared" si="1511"/>
        <v>1.8299706042196421E-4</v>
      </c>
      <c r="G2864" s="4">
        <f t="shared" si="1511"/>
        <v>1.8299706042196421E-4</v>
      </c>
      <c r="H2864" s="4">
        <f t="shared" si="1511"/>
        <v>1.8299706042196421E-4</v>
      </c>
      <c r="I2864" s="4">
        <f t="shared" si="1511"/>
        <v>1.8299706042196421E-4</v>
      </c>
      <c r="J2864" s="4">
        <f t="shared" si="1511"/>
        <v>1.8299706042196421E-4</v>
      </c>
      <c r="K2864" s="4">
        <f t="shared" si="1511"/>
        <v>1.8299706042196421E-4</v>
      </c>
      <c r="L2864" s="4">
        <f t="shared" si="1511"/>
        <v>1.8299706042196421E-4</v>
      </c>
      <c r="M2864" s="4">
        <f t="shared" si="1511"/>
        <v>1.8299706042196421E-4</v>
      </c>
      <c r="N2864" t="s">
        <v>242</v>
      </c>
      <c r="O2864" t="s">
        <v>358</v>
      </c>
      <c r="P2864" t="s">
        <v>424</v>
      </c>
      <c r="Q2864" s="4" t="s">
        <v>245</v>
      </c>
    </row>
    <row r="2865" spans="1:17" x14ac:dyDescent="0.25">
      <c r="A2865" t="s">
        <v>424</v>
      </c>
      <c r="B2865" t="s">
        <v>99</v>
      </c>
      <c r="C2865" s="4">
        <f t="shared" ref="C2865:M2865" si="1512">(0.00396421732885982/(0.0900940072589024+0.00396421732885982+0.0572052587068733+0.752028927432513))  * 0.183474862417338%</f>
        <v>8.0520352033012236E-6</v>
      </c>
      <c r="D2865" s="4">
        <f t="shared" si="1512"/>
        <v>8.0520352033012236E-6</v>
      </c>
      <c r="E2865" s="4">
        <f t="shared" si="1512"/>
        <v>8.0520352033012236E-6</v>
      </c>
      <c r="F2865" s="4">
        <f t="shared" si="1512"/>
        <v>8.0520352033012236E-6</v>
      </c>
      <c r="G2865" s="4">
        <f t="shared" si="1512"/>
        <v>8.0520352033012236E-6</v>
      </c>
      <c r="H2865" s="4">
        <f t="shared" si="1512"/>
        <v>8.0520352033012236E-6</v>
      </c>
      <c r="I2865" s="4">
        <f t="shared" si="1512"/>
        <v>8.0520352033012236E-6</v>
      </c>
      <c r="J2865" s="4">
        <f t="shared" si="1512"/>
        <v>8.0520352033012236E-6</v>
      </c>
      <c r="K2865" s="4">
        <f t="shared" si="1512"/>
        <v>8.0520352033012236E-6</v>
      </c>
      <c r="L2865" s="4">
        <f t="shared" si="1512"/>
        <v>8.0520352033012236E-6</v>
      </c>
      <c r="M2865" s="4">
        <f t="shared" si="1512"/>
        <v>8.0520352033012236E-6</v>
      </c>
      <c r="N2865" t="s">
        <v>256</v>
      </c>
      <c r="O2865" t="s">
        <v>353</v>
      </c>
      <c r="P2865" t="s">
        <v>424</v>
      </c>
      <c r="Q2865" s="4" t="s">
        <v>245</v>
      </c>
    </row>
    <row r="2866" spans="1:17" x14ac:dyDescent="0.25">
      <c r="A2866" t="s">
        <v>424</v>
      </c>
      <c r="B2866" t="s">
        <v>99</v>
      </c>
      <c r="C2866" s="4">
        <f t="shared" ref="C2866:M2866" si="1513">(0.0572052587068733/(0.0900940072589024+0.00396421732885982+0.0572052587068733+0.752028927432513)) * 0.183474862417338%</f>
        <v>1.1619412325564394E-4</v>
      </c>
      <c r="D2866" s="4">
        <f t="shared" si="1513"/>
        <v>1.1619412325564394E-4</v>
      </c>
      <c r="E2866" s="4">
        <f t="shared" si="1513"/>
        <v>1.1619412325564394E-4</v>
      </c>
      <c r="F2866" s="4">
        <f t="shared" si="1513"/>
        <v>1.1619412325564394E-4</v>
      </c>
      <c r="G2866" s="4">
        <f t="shared" si="1513"/>
        <v>1.1619412325564394E-4</v>
      </c>
      <c r="H2866" s="4">
        <f t="shared" si="1513"/>
        <v>1.1619412325564394E-4</v>
      </c>
      <c r="I2866" s="4">
        <f t="shared" si="1513"/>
        <v>1.1619412325564394E-4</v>
      </c>
      <c r="J2866" s="4">
        <f t="shared" si="1513"/>
        <v>1.1619412325564394E-4</v>
      </c>
      <c r="K2866" s="4">
        <f t="shared" si="1513"/>
        <v>1.1619412325564394E-4</v>
      </c>
      <c r="L2866" s="4">
        <f t="shared" si="1513"/>
        <v>1.1619412325564394E-4</v>
      </c>
      <c r="M2866" s="4">
        <f t="shared" si="1513"/>
        <v>1.1619412325564394E-4</v>
      </c>
      <c r="N2866" t="s">
        <v>256</v>
      </c>
      <c r="O2866" t="s">
        <v>280</v>
      </c>
      <c r="P2866" t="s">
        <v>424</v>
      </c>
      <c r="Q2866" s="4" t="s">
        <v>245</v>
      </c>
    </row>
    <row r="2867" spans="1:17" x14ac:dyDescent="0.25">
      <c r="A2867" t="s">
        <v>424</v>
      </c>
      <c r="B2867" t="s">
        <v>99</v>
      </c>
      <c r="C2867" s="4">
        <f t="shared" ref="C2867:M2867" si="1514">(0.752028927432513/(0.0900940072589024+0.00396421732885982+0.0572052587068733+0.752028927432513)) * 0.183474862417338%</f>
        <v>1.5275054052924708E-3</v>
      </c>
      <c r="D2867" s="4">
        <f t="shared" si="1514"/>
        <v>1.5275054052924708E-3</v>
      </c>
      <c r="E2867" s="4">
        <f t="shared" si="1514"/>
        <v>1.5275054052924708E-3</v>
      </c>
      <c r="F2867" s="4">
        <f t="shared" si="1514"/>
        <v>1.5275054052924708E-3</v>
      </c>
      <c r="G2867" s="4">
        <f t="shared" si="1514"/>
        <v>1.5275054052924708E-3</v>
      </c>
      <c r="H2867" s="4">
        <f t="shared" si="1514"/>
        <v>1.5275054052924708E-3</v>
      </c>
      <c r="I2867" s="4">
        <f t="shared" si="1514"/>
        <v>1.5275054052924708E-3</v>
      </c>
      <c r="J2867" s="4">
        <f t="shared" si="1514"/>
        <v>1.5275054052924708E-3</v>
      </c>
      <c r="K2867" s="4">
        <f t="shared" si="1514"/>
        <v>1.5275054052924708E-3</v>
      </c>
      <c r="L2867" s="4">
        <f t="shared" si="1514"/>
        <v>1.5275054052924708E-3</v>
      </c>
      <c r="M2867" s="4">
        <f t="shared" si="1514"/>
        <v>1.5275054052924708E-3</v>
      </c>
      <c r="N2867" t="s">
        <v>256</v>
      </c>
      <c r="O2867" t="s">
        <v>354</v>
      </c>
      <c r="P2867" t="s">
        <v>424</v>
      </c>
      <c r="Q2867" s="4" t="s">
        <v>245</v>
      </c>
    </row>
    <row r="2868" spans="1:17" x14ac:dyDescent="0.25">
      <c r="A2868" t="s">
        <v>424</v>
      </c>
      <c r="B2868" t="s">
        <v>118</v>
      </c>
      <c r="C2868" s="4">
        <f t="shared" ref="C2868:M2868" si="1515">(0.0900940072589024/(0.0900940072589024+0.00396421732885982+0.0572052587068733+0.752028927432513)) * 0.00465145471200435%</f>
        <v>4.6393414758176337E-6</v>
      </c>
      <c r="D2868" s="4">
        <f t="shared" si="1515"/>
        <v>4.6393414758176337E-6</v>
      </c>
      <c r="E2868" s="4">
        <f t="shared" si="1515"/>
        <v>4.6393414758176337E-6</v>
      </c>
      <c r="F2868" s="4">
        <f t="shared" si="1515"/>
        <v>4.6393414758176337E-6</v>
      </c>
      <c r="G2868" s="4">
        <f t="shared" si="1515"/>
        <v>4.6393414758176337E-6</v>
      </c>
      <c r="H2868" s="4">
        <f t="shared" si="1515"/>
        <v>4.6393414758176337E-6</v>
      </c>
      <c r="I2868" s="4">
        <f t="shared" si="1515"/>
        <v>4.6393414758176337E-6</v>
      </c>
      <c r="J2868" s="4">
        <f t="shared" si="1515"/>
        <v>4.6393414758176337E-6</v>
      </c>
      <c r="K2868" s="4">
        <f t="shared" si="1515"/>
        <v>4.6393414758176337E-6</v>
      </c>
      <c r="L2868" s="4">
        <f t="shared" si="1515"/>
        <v>4.6393414758176337E-6</v>
      </c>
      <c r="M2868" s="4">
        <f t="shared" si="1515"/>
        <v>4.6393414758176337E-6</v>
      </c>
      <c r="N2868" t="s">
        <v>242</v>
      </c>
      <c r="O2868" t="s">
        <v>358</v>
      </c>
      <c r="P2868" t="s">
        <v>424</v>
      </c>
      <c r="Q2868" s="4" t="s">
        <v>245</v>
      </c>
    </row>
    <row r="2869" spans="1:17" x14ac:dyDescent="0.25">
      <c r="A2869" t="s">
        <v>424</v>
      </c>
      <c r="B2869" t="s">
        <v>118</v>
      </c>
      <c r="C2869" s="4">
        <f t="shared" ref="C2869:M2869" si="1516">(0.00396421732885982/(0.0900940072589024+0.00396421732885982+0.0572052587068733+0.752028927432513))  * 0.00465145471200435%</f>
        <v>2.0413519647409248E-7</v>
      </c>
      <c r="D2869" s="4">
        <f t="shared" si="1516"/>
        <v>2.0413519647409248E-7</v>
      </c>
      <c r="E2869" s="4">
        <f t="shared" si="1516"/>
        <v>2.0413519647409248E-7</v>
      </c>
      <c r="F2869" s="4">
        <f t="shared" si="1516"/>
        <v>2.0413519647409248E-7</v>
      </c>
      <c r="G2869" s="4">
        <f t="shared" si="1516"/>
        <v>2.0413519647409248E-7</v>
      </c>
      <c r="H2869" s="4">
        <f t="shared" si="1516"/>
        <v>2.0413519647409248E-7</v>
      </c>
      <c r="I2869" s="4">
        <f t="shared" si="1516"/>
        <v>2.0413519647409248E-7</v>
      </c>
      <c r="J2869" s="4">
        <f t="shared" si="1516"/>
        <v>2.0413519647409248E-7</v>
      </c>
      <c r="K2869" s="4">
        <f t="shared" si="1516"/>
        <v>2.0413519647409248E-7</v>
      </c>
      <c r="L2869" s="4">
        <f t="shared" si="1516"/>
        <v>2.0413519647409248E-7</v>
      </c>
      <c r="M2869" s="4">
        <f t="shared" si="1516"/>
        <v>2.0413519647409248E-7</v>
      </c>
      <c r="N2869" t="s">
        <v>256</v>
      </c>
      <c r="O2869" t="s">
        <v>353</v>
      </c>
      <c r="P2869" t="s">
        <v>424</v>
      </c>
      <c r="Q2869" s="4" t="s">
        <v>245</v>
      </c>
    </row>
    <row r="2870" spans="1:17" x14ac:dyDescent="0.25">
      <c r="A2870" t="s">
        <v>424</v>
      </c>
      <c r="B2870" t="s">
        <v>118</v>
      </c>
      <c r="C2870" s="4">
        <f t="shared" ref="C2870:M2870" si="1517">(0.0572052587068733/(0.0900940072589024+0.00396421732885982+0.0572052587068733+0.752028927432513)) * 0.00465145471200435%</f>
        <v>2.9457534127770831E-6</v>
      </c>
      <c r="D2870" s="4">
        <f t="shared" si="1517"/>
        <v>2.9457534127770831E-6</v>
      </c>
      <c r="E2870" s="4">
        <f t="shared" si="1517"/>
        <v>2.9457534127770831E-6</v>
      </c>
      <c r="F2870" s="4">
        <f t="shared" si="1517"/>
        <v>2.9457534127770831E-6</v>
      </c>
      <c r="G2870" s="4">
        <f t="shared" si="1517"/>
        <v>2.9457534127770831E-6</v>
      </c>
      <c r="H2870" s="4">
        <f t="shared" si="1517"/>
        <v>2.9457534127770831E-6</v>
      </c>
      <c r="I2870" s="4">
        <f t="shared" si="1517"/>
        <v>2.9457534127770831E-6</v>
      </c>
      <c r="J2870" s="4">
        <f t="shared" si="1517"/>
        <v>2.9457534127770831E-6</v>
      </c>
      <c r="K2870" s="4">
        <f t="shared" si="1517"/>
        <v>2.9457534127770831E-6</v>
      </c>
      <c r="L2870" s="4">
        <f t="shared" si="1517"/>
        <v>2.9457534127770831E-6</v>
      </c>
      <c r="M2870" s="4">
        <f t="shared" si="1517"/>
        <v>2.9457534127770831E-6</v>
      </c>
      <c r="N2870" t="s">
        <v>256</v>
      </c>
      <c r="O2870" t="s">
        <v>280</v>
      </c>
      <c r="P2870" t="s">
        <v>424</v>
      </c>
      <c r="Q2870" s="4" t="s">
        <v>245</v>
      </c>
    </row>
    <row r="2871" spans="1:17" x14ac:dyDescent="0.25">
      <c r="A2871" t="s">
        <v>424</v>
      </c>
      <c r="B2871" t="s">
        <v>118</v>
      </c>
      <c r="C2871" s="4">
        <f t="shared" ref="C2871:M2871" si="1518">(0.752028927432513/(0.0900940072589024+0.00396421732885982+0.0572052587068733+0.752028927432513)) * 0.00465145471200435%</f>
        <v>3.8725317034974695E-5</v>
      </c>
      <c r="D2871" s="4">
        <f t="shared" si="1518"/>
        <v>3.8725317034974695E-5</v>
      </c>
      <c r="E2871" s="4">
        <f t="shared" si="1518"/>
        <v>3.8725317034974695E-5</v>
      </c>
      <c r="F2871" s="4">
        <f t="shared" si="1518"/>
        <v>3.8725317034974695E-5</v>
      </c>
      <c r="G2871" s="4">
        <f t="shared" si="1518"/>
        <v>3.8725317034974695E-5</v>
      </c>
      <c r="H2871" s="4">
        <f t="shared" si="1518"/>
        <v>3.8725317034974695E-5</v>
      </c>
      <c r="I2871" s="4">
        <f t="shared" si="1518"/>
        <v>3.8725317034974695E-5</v>
      </c>
      <c r="J2871" s="4">
        <f t="shared" si="1518"/>
        <v>3.8725317034974695E-5</v>
      </c>
      <c r="K2871" s="4">
        <f t="shared" si="1518"/>
        <v>3.8725317034974695E-5</v>
      </c>
      <c r="L2871" s="4">
        <f t="shared" si="1518"/>
        <v>3.8725317034974695E-5</v>
      </c>
      <c r="M2871" s="4">
        <f t="shared" si="1518"/>
        <v>3.8725317034974695E-5</v>
      </c>
      <c r="N2871" t="s">
        <v>256</v>
      </c>
      <c r="O2871" t="s">
        <v>354</v>
      </c>
      <c r="P2871" t="s">
        <v>424</v>
      </c>
      <c r="Q2871" s="4" t="s">
        <v>245</v>
      </c>
    </row>
    <row r="2872" spans="1:17" x14ac:dyDescent="0.25">
      <c r="A2872" t="s">
        <v>424</v>
      </c>
      <c r="B2872" t="s">
        <v>100</v>
      </c>
      <c r="C2872" s="4">
        <f t="shared" ref="C2872:M2872" si="1519">(0.0900940072589024/(0.0900940072589024+0.00396421732885982+0.0572052587068733+0.752028927432513)) * 0.000462356653291692%</f>
        <v>4.6115259226335001E-7</v>
      </c>
      <c r="D2872" s="4">
        <f t="shared" si="1519"/>
        <v>4.6115259226335001E-7</v>
      </c>
      <c r="E2872" s="4">
        <f t="shared" si="1519"/>
        <v>4.6115259226335001E-7</v>
      </c>
      <c r="F2872" s="4">
        <f t="shared" si="1519"/>
        <v>4.6115259226335001E-7</v>
      </c>
      <c r="G2872" s="4">
        <f t="shared" si="1519"/>
        <v>4.6115259226335001E-7</v>
      </c>
      <c r="H2872" s="4">
        <f t="shared" si="1519"/>
        <v>4.6115259226335001E-7</v>
      </c>
      <c r="I2872" s="4">
        <f t="shared" si="1519"/>
        <v>4.6115259226335001E-7</v>
      </c>
      <c r="J2872" s="4">
        <f t="shared" si="1519"/>
        <v>4.6115259226335001E-7</v>
      </c>
      <c r="K2872" s="4">
        <f t="shared" si="1519"/>
        <v>4.6115259226335001E-7</v>
      </c>
      <c r="L2872" s="4">
        <f t="shared" si="1519"/>
        <v>4.6115259226335001E-7</v>
      </c>
      <c r="M2872" s="4">
        <f t="shared" si="1519"/>
        <v>4.6115259226335001E-7</v>
      </c>
      <c r="N2872" t="s">
        <v>242</v>
      </c>
      <c r="O2872" t="s">
        <v>358</v>
      </c>
      <c r="P2872" t="s">
        <v>424</v>
      </c>
      <c r="Q2872" s="4" t="s">
        <v>245</v>
      </c>
    </row>
    <row r="2873" spans="1:17" x14ac:dyDescent="0.25">
      <c r="A2873" t="s">
        <v>424</v>
      </c>
      <c r="B2873" t="s">
        <v>100</v>
      </c>
      <c r="C2873" s="4">
        <f t="shared" ref="C2873:M2873" si="1520">(0.00396421732885982/(0.0900940072589024+0.00396421732885982+0.0572052587068733+0.752028927432513))  * 0.000462356653291692%</f>
        <v>2.0291128712319094E-8</v>
      </c>
      <c r="D2873" s="4">
        <f t="shared" si="1520"/>
        <v>2.0291128712319094E-8</v>
      </c>
      <c r="E2873" s="4">
        <f t="shared" si="1520"/>
        <v>2.0291128712319094E-8</v>
      </c>
      <c r="F2873" s="4">
        <f t="shared" si="1520"/>
        <v>2.0291128712319094E-8</v>
      </c>
      <c r="G2873" s="4">
        <f t="shared" si="1520"/>
        <v>2.0291128712319094E-8</v>
      </c>
      <c r="H2873" s="4">
        <f t="shared" si="1520"/>
        <v>2.0291128712319094E-8</v>
      </c>
      <c r="I2873" s="4">
        <f t="shared" si="1520"/>
        <v>2.0291128712319094E-8</v>
      </c>
      <c r="J2873" s="4">
        <f t="shared" si="1520"/>
        <v>2.0291128712319094E-8</v>
      </c>
      <c r="K2873" s="4">
        <f t="shared" si="1520"/>
        <v>2.0291128712319094E-8</v>
      </c>
      <c r="L2873" s="4">
        <f t="shared" si="1520"/>
        <v>2.0291128712319094E-8</v>
      </c>
      <c r="M2873" s="4">
        <f t="shared" si="1520"/>
        <v>2.0291128712319094E-8</v>
      </c>
      <c r="N2873" t="s">
        <v>256</v>
      </c>
      <c r="O2873" t="s">
        <v>353</v>
      </c>
      <c r="P2873" t="s">
        <v>424</v>
      </c>
      <c r="Q2873" s="4" t="s">
        <v>245</v>
      </c>
    </row>
    <row r="2874" spans="1:17" x14ac:dyDescent="0.25">
      <c r="A2874" t="s">
        <v>424</v>
      </c>
      <c r="B2874" t="s">
        <v>100</v>
      </c>
      <c r="C2874" s="4">
        <f t="shared" ref="C2874:M2874" si="1521">(0.0572052587068733/(0.0900940072589024+0.00396421732885982+0.0572052587068733+0.752028927432513)) * 0.000462356653291692%</f>
        <v>2.9280919060422287E-7</v>
      </c>
      <c r="D2874" s="4">
        <f t="shared" si="1521"/>
        <v>2.9280919060422287E-7</v>
      </c>
      <c r="E2874" s="4">
        <f t="shared" si="1521"/>
        <v>2.9280919060422287E-7</v>
      </c>
      <c r="F2874" s="4">
        <f t="shared" si="1521"/>
        <v>2.9280919060422287E-7</v>
      </c>
      <c r="G2874" s="4">
        <f t="shared" si="1521"/>
        <v>2.9280919060422287E-7</v>
      </c>
      <c r="H2874" s="4">
        <f t="shared" si="1521"/>
        <v>2.9280919060422287E-7</v>
      </c>
      <c r="I2874" s="4">
        <f t="shared" si="1521"/>
        <v>2.9280919060422287E-7</v>
      </c>
      <c r="J2874" s="4">
        <f t="shared" si="1521"/>
        <v>2.9280919060422287E-7</v>
      </c>
      <c r="K2874" s="4">
        <f t="shared" si="1521"/>
        <v>2.9280919060422287E-7</v>
      </c>
      <c r="L2874" s="4">
        <f t="shared" si="1521"/>
        <v>2.9280919060422287E-7</v>
      </c>
      <c r="M2874" s="4">
        <f t="shared" si="1521"/>
        <v>2.9280919060422287E-7</v>
      </c>
      <c r="N2874" t="s">
        <v>256</v>
      </c>
      <c r="O2874" t="s">
        <v>280</v>
      </c>
      <c r="P2874" t="s">
        <v>424</v>
      </c>
      <c r="Q2874" s="4" t="s">
        <v>245</v>
      </c>
    </row>
    <row r="2875" spans="1:17" x14ac:dyDescent="0.25">
      <c r="A2875" t="s">
        <v>424</v>
      </c>
      <c r="B2875" t="s">
        <v>100</v>
      </c>
      <c r="C2875" s="4">
        <f t="shared" ref="C2875:M2875" si="1522">(0.752028927432513/(0.0900940072589024+0.00396421732885982+0.0572052587068733+0.752028927432513)) * 0.000462356653291692%</f>
        <v>3.8493136213370284E-6</v>
      </c>
      <c r="D2875" s="4">
        <f t="shared" si="1522"/>
        <v>3.8493136213370284E-6</v>
      </c>
      <c r="E2875" s="4">
        <f t="shared" si="1522"/>
        <v>3.8493136213370284E-6</v>
      </c>
      <c r="F2875" s="4">
        <f t="shared" si="1522"/>
        <v>3.8493136213370284E-6</v>
      </c>
      <c r="G2875" s="4">
        <f t="shared" si="1522"/>
        <v>3.8493136213370284E-6</v>
      </c>
      <c r="H2875" s="4">
        <f t="shared" si="1522"/>
        <v>3.8493136213370284E-6</v>
      </c>
      <c r="I2875" s="4">
        <f t="shared" si="1522"/>
        <v>3.8493136213370284E-6</v>
      </c>
      <c r="J2875" s="4">
        <f t="shared" si="1522"/>
        <v>3.8493136213370284E-6</v>
      </c>
      <c r="K2875" s="4">
        <f t="shared" si="1522"/>
        <v>3.8493136213370284E-6</v>
      </c>
      <c r="L2875" s="4">
        <f t="shared" si="1522"/>
        <v>3.8493136213370284E-6</v>
      </c>
      <c r="M2875" s="4">
        <f t="shared" si="1522"/>
        <v>3.8493136213370284E-6</v>
      </c>
      <c r="N2875" t="s">
        <v>256</v>
      </c>
      <c r="O2875" t="s">
        <v>354</v>
      </c>
      <c r="P2875" t="s">
        <v>424</v>
      </c>
      <c r="Q2875" s="4" t="s">
        <v>245</v>
      </c>
    </row>
    <row r="2876" spans="1:17" x14ac:dyDescent="0.25">
      <c r="A2876" t="s">
        <v>424</v>
      </c>
      <c r="B2876" t="s">
        <v>119</v>
      </c>
      <c r="C2876" s="4">
        <f t="shared" ref="C2876:M2876" si="1523">(0.0900940072589024/(0.0900940072589024+0.00396421732885982+0.0572052587068733+0.752028927432513)) * 0.0132116578929477%</f>
        <v>1.3177252326864822E-5</v>
      </c>
      <c r="D2876" s="4">
        <f t="shared" si="1523"/>
        <v>1.3177252326864822E-5</v>
      </c>
      <c r="E2876" s="4">
        <f t="shared" si="1523"/>
        <v>1.3177252326864822E-5</v>
      </c>
      <c r="F2876" s="4">
        <f t="shared" si="1523"/>
        <v>1.3177252326864822E-5</v>
      </c>
      <c r="G2876" s="4">
        <f t="shared" si="1523"/>
        <v>1.3177252326864822E-5</v>
      </c>
      <c r="H2876" s="4">
        <f t="shared" si="1523"/>
        <v>1.3177252326864822E-5</v>
      </c>
      <c r="I2876" s="4">
        <f t="shared" si="1523"/>
        <v>1.3177252326864822E-5</v>
      </c>
      <c r="J2876" s="4">
        <f t="shared" si="1523"/>
        <v>1.3177252326864822E-5</v>
      </c>
      <c r="K2876" s="4">
        <f t="shared" si="1523"/>
        <v>1.3177252326864822E-5</v>
      </c>
      <c r="L2876" s="4">
        <f t="shared" si="1523"/>
        <v>1.3177252326864822E-5</v>
      </c>
      <c r="M2876" s="4">
        <f t="shared" si="1523"/>
        <v>1.3177252326864822E-5</v>
      </c>
      <c r="N2876" t="s">
        <v>242</v>
      </c>
      <c r="O2876" t="s">
        <v>358</v>
      </c>
      <c r="P2876" t="s">
        <v>424</v>
      </c>
      <c r="Q2876" s="4" t="s">
        <v>245</v>
      </c>
    </row>
    <row r="2877" spans="1:17" x14ac:dyDescent="0.25">
      <c r="A2877" t="s">
        <v>424</v>
      </c>
      <c r="B2877" t="s">
        <v>119</v>
      </c>
      <c r="C2877" s="4">
        <f t="shared" ref="C2877:M2877" si="1524">(0.00396421732885982/(0.0900940072589024+0.00396421732885982+0.0572052587068733+0.752028927432513))  * 0.0132116578929477%</f>
        <v>5.7981095091931562E-7</v>
      </c>
      <c r="D2877" s="4">
        <f t="shared" si="1524"/>
        <v>5.7981095091931562E-7</v>
      </c>
      <c r="E2877" s="4">
        <f t="shared" si="1524"/>
        <v>5.7981095091931562E-7</v>
      </c>
      <c r="F2877" s="4">
        <f t="shared" si="1524"/>
        <v>5.7981095091931562E-7</v>
      </c>
      <c r="G2877" s="4">
        <f t="shared" si="1524"/>
        <v>5.7981095091931562E-7</v>
      </c>
      <c r="H2877" s="4">
        <f t="shared" si="1524"/>
        <v>5.7981095091931562E-7</v>
      </c>
      <c r="I2877" s="4">
        <f t="shared" si="1524"/>
        <v>5.7981095091931562E-7</v>
      </c>
      <c r="J2877" s="4">
        <f t="shared" si="1524"/>
        <v>5.7981095091931562E-7</v>
      </c>
      <c r="K2877" s="4">
        <f t="shared" si="1524"/>
        <v>5.7981095091931562E-7</v>
      </c>
      <c r="L2877" s="4">
        <f t="shared" si="1524"/>
        <v>5.7981095091931562E-7</v>
      </c>
      <c r="M2877" s="4">
        <f t="shared" si="1524"/>
        <v>5.7981095091931562E-7</v>
      </c>
      <c r="N2877" t="s">
        <v>256</v>
      </c>
      <c r="O2877" t="s">
        <v>353</v>
      </c>
      <c r="P2877" t="s">
        <v>424</v>
      </c>
      <c r="Q2877" s="4" t="s">
        <v>245</v>
      </c>
    </row>
    <row r="2878" spans="1:17" x14ac:dyDescent="0.25">
      <c r="A2878" t="s">
        <v>424</v>
      </c>
      <c r="B2878" t="s">
        <v>119</v>
      </c>
      <c r="C2878" s="4">
        <f t="shared" ref="C2878:M2878" si="1525">(0.0572052587068733/(0.0900940072589024+0.00396421732885982+0.0572052587068733+0.752028927432513)) * 0.0132116578929477%</f>
        <v>8.3669064273924244E-6</v>
      </c>
      <c r="D2878" s="4">
        <f t="shared" si="1525"/>
        <v>8.3669064273924244E-6</v>
      </c>
      <c r="E2878" s="4">
        <f t="shared" si="1525"/>
        <v>8.3669064273924244E-6</v>
      </c>
      <c r="F2878" s="4">
        <f t="shared" si="1525"/>
        <v>8.3669064273924244E-6</v>
      </c>
      <c r="G2878" s="4">
        <f t="shared" si="1525"/>
        <v>8.3669064273924244E-6</v>
      </c>
      <c r="H2878" s="4">
        <f t="shared" si="1525"/>
        <v>8.3669064273924244E-6</v>
      </c>
      <c r="I2878" s="4">
        <f t="shared" si="1525"/>
        <v>8.3669064273924244E-6</v>
      </c>
      <c r="J2878" s="4">
        <f t="shared" si="1525"/>
        <v>8.3669064273924244E-6</v>
      </c>
      <c r="K2878" s="4">
        <f t="shared" si="1525"/>
        <v>8.3669064273924244E-6</v>
      </c>
      <c r="L2878" s="4">
        <f t="shared" si="1525"/>
        <v>8.3669064273924244E-6</v>
      </c>
      <c r="M2878" s="4">
        <f t="shared" si="1525"/>
        <v>8.3669064273924244E-6</v>
      </c>
      <c r="N2878" t="s">
        <v>256</v>
      </c>
      <c r="O2878" t="s">
        <v>280</v>
      </c>
      <c r="P2878" t="s">
        <v>424</v>
      </c>
      <c r="Q2878" s="4" t="s">
        <v>245</v>
      </c>
    </row>
    <row r="2879" spans="1:17" x14ac:dyDescent="0.25">
      <c r="A2879" t="s">
        <v>424</v>
      </c>
      <c r="B2879" t="s">
        <v>119</v>
      </c>
      <c r="C2879" s="4">
        <f t="shared" ref="C2879:M2879" si="1526">(0.752028927432513/(0.0900940072589024+0.00396421732885982+0.0572052587068733+0.752028927432513)) * 0.0132116578929477%</f>
        <v>1.0999260922430044E-4</v>
      </c>
      <c r="D2879" s="4">
        <f t="shared" si="1526"/>
        <v>1.0999260922430044E-4</v>
      </c>
      <c r="E2879" s="4">
        <f t="shared" si="1526"/>
        <v>1.0999260922430044E-4</v>
      </c>
      <c r="F2879" s="4">
        <f t="shared" si="1526"/>
        <v>1.0999260922430044E-4</v>
      </c>
      <c r="G2879" s="4">
        <f t="shared" si="1526"/>
        <v>1.0999260922430044E-4</v>
      </c>
      <c r="H2879" s="4">
        <f t="shared" si="1526"/>
        <v>1.0999260922430044E-4</v>
      </c>
      <c r="I2879" s="4">
        <f t="shared" si="1526"/>
        <v>1.0999260922430044E-4</v>
      </c>
      <c r="J2879" s="4">
        <f t="shared" si="1526"/>
        <v>1.0999260922430044E-4</v>
      </c>
      <c r="K2879" s="4">
        <f t="shared" si="1526"/>
        <v>1.0999260922430044E-4</v>
      </c>
      <c r="L2879" s="4">
        <f t="shared" si="1526"/>
        <v>1.0999260922430044E-4</v>
      </c>
      <c r="M2879" s="4">
        <f t="shared" si="1526"/>
        <v>1.0999260922430044E-4</v>
      </c>
      <c r="N2879" t="s">
        <v>256</v>
      </c>
      <c r="O2879" t="s">
        <v>354</v>
      </c>
      <c r="P2879" t="s">
        <v>424</v>
      </c>
      <c r="Q2879" s="4" t="s">
        <v>245</v>
      </c>
    </row>
    <row r="2880" spans="1:17" x14ac:dyDescent="0.25">
      <c r="A2880" t="s">
        <v>424</v>
      </c>
      <c r="B2880" t="s">
        <v>102</v>
      </c>
      <c r="C2880" s="4">
        <f t="shared" ref="C2880:M2880" si="1527">(0.0900940072589024/(0.0900940072589024+0.00396421732885982+0.0572052587068733+0.752028927432513)) * 3.73705049099047%</f>
        <v>3.7273185301219211E-3</v>
      </c>
      <c r="D2880" s="4">
        <f t="shared" si="1527"/>
        <v>3.7273185301219211E-3</v>
      </c>
      <c r="E2880" s="4">
        <f t="shared" si="1527"/>
        <v>3.7273185301219211E-3</v>
      </c>
      <c r="F2880" s="4">
        <f t="shared" si="1527"/>
        <v>3.7273185301219211E-3</v>
      </c>
      <c r="G2880" s="4">
        <f t="shared" si="1527"/>
        <v>3.7273185301219211E-3</v>
      </c>
      <c r="H2880" s="4">
        <f t="shared" si="1527"/>
        <v>3.7273185301219211E-3</v>
      </c>
      <c r="I2880" s="4">
        <f t="shared" si="1527"/>
        <v>3.7273185301219211E-3</v>
      </c>
      <c r="J2880" s="4">
        <f t="shared" si="1527"/>
        <v>3.7273185301219211E-3</v>
      </c>
      <c r="K2880" s="4">
        <f t="shared" si="1527"/>
        <v>3.7273185301219211E-3</v>
      </c>
      <c r="L2880" s="4">
        <f t="shared" si="1527"/>
        <v>3.7273185301219211E-3</v>
      </c>
      <c r="M2880" s="4">
        <f t="shared" si="1527"/>
        <v>3.7273185301219211E-3</v>
      </c>
      <c r="N2880" t="s">
        <v>242</v>
      </c>
      <c r="O2880" t="s">
        <v>358</v>
      </c>
      <c r="P2880" t="s">
        <v>424</v>
      </c>
      <c r="Q2880" s="4" t="s">
        <v>245</v>
      </c>
    </row>
    <row r="2881" spans="1:17" x14ac:dyDescent="0.25">
      <c r="A2881" t="s">
        <v>424</v>
      </c>
      <c r="B2881" t="s">
        <v>102</v>
      </c>
      <c r="C2881" s="4">
        <f t="shared" ref="C2881:M2881" si="1528">(0.00396421732885982/(0.0900940072589024+0.00396421732885982+0.0572052587068733+0.752028927432513))  * 3.73705049099047%</f>
        <v>1.6400536680345732E-4</v>
      </c>
      <c r="D2881" s="4">
        <f t="shared" si="1528"/>
        <v>1.6400536680345732E-4</v>
      </c>
      <c r="E2881" s="4">
        <f t="shared" si="1528"/>
        <v>1.6400536680345732E-4</v>
      </c>
      <c r="F2881" s="4">
        <f t="shared" si="1528"/>
        <v>1.6400536680345732E-4</v>
      </c>
      <c r="G2881" s="4">
        <f t="shared" si="1528"/>
        <v>1.6400536680345732E-4</v>
      </c>
      <c r="H2881" s="4">
        <f t="shared" si="1528"/>
        <v>1.6400536680345732E-4</v>
      </c>
      <c r="I2881" s="4">
        <f t="shared" si="1528"/>
        <v>1.6400536680345732E-4</v>
      </c>
      <c r="J2881" s="4">
        <f t="shared" si="1528"/>
        <v>1.6400536680345732E-4</v>
      </c>
      <c r="K2881" s="4">
        <f t="shared" si="1528"/>
        <v>1.6400536680345732E-4</v>
      </c>
      <c r="L2881" s="4">
        <f t="shared" si="1528"/>
        <v>1.6400536680345732E-4</v>
      </c>
      <c r="M2881" s="4">
        <f t="shared" si="1528"/>
        <v>1.6400536680345732E-4</v>
      </c>
      <c r="N2881" t="s">
        <v>256</v>
      </c>
      <c r="O2881" t="s">
        <v>353</v>
      </c>
      <c r="P2881" t="s">
        <v>424</v>
      </c>
      <c r="Q2881" s="4" t="s">
        <v>245</v>
      </c>
    </row>
    <row r="2882" spans="1:17" x14ac:dyDescent="0.25">
      <c r="A2882" t="s">
        <v>424</v>
      </c>
      <c r="B2882" t="s">
        <v>102</v>
      </c>
      <c r="C2882" s="4">
        <f t="shared" ref="C2882:M2882" si="1529">(0.0572052587068733/(0.0900940072589024+0.00396421732885982+0.0572052587068733+0.752028927432513)) * 3.73705049099047%</f>
        <v>2.3666637469661246E-3</v>
      </c>
      <c r="D2882" s="4">
        <f t="shared" si="1529"/>
        <v>2.3666637469661246E-3</v>
      </c>
      <c r="E2882" s="4">
        <f t="shared" si="1529"/>
        <v>2.3666637469661246E-3</v>
      </c>
      <c r="F2882" s="4">
        <f t="shared" si="1529"/>
        <v>2.3666637469661246E-3</v>
      </c>
      <c r="G2882" s="4">
        <f t="shared" si="1529"/>
        <v>2.3666637469661246E-3</v>
      </c>
      <c r="H2882" s="4">
        <f t="shared" si="1529"/>
        <v>2.3666637469661246E-3</v>
      </c>
      <c r="I2882" s="4">
        <f t="shared" si="1529"/>
        <v>2.3666637469661246E-3</v>
      </c>
      <c r="J2882" s="4">
        <f t="shared" si="1529"/>
        <v>2.3666637469661246E-3</v>
      </c>
      <c r="K2882" s="4">
        <f t="shared" si="1529"/>
        <v>2.3666637469661246E-3</v>
      </c>
      <c r="L2882" s="4">
        <f t="shared" si="1529"/>
        <v>2.3666637469661246E-3</v>
      </c>
      <c r="M2882" s="4">
        <f t="shared" si="1529"/>
        <v>2.3666637469661246E-3</v>
      </c>
      <c r="N2882" t="s">
        <v>256</v>
      </c>
      <c r="O2882" t="s">
        <v>280</v>
      </c>
      <c r="P2882" t="s">
        <v>424</v>
      </c>
      <c r="Q2882" s="4" t="s">
        <v>245</v>
      </c>
    </row>
    <row r="2883" spans="1:17" x14ac:dyDescent="0.25">
      <c r="A2883" t="s">
        <v>424</v>
      </c>
      <c r="B2883" t="s">
        <v>102</v>
      </c>
      <c r="C2883" s="4">
        <f t="shared" ref="C2883:M2883" si="1530">(0.752028927432513/(0.0900940072589024+0.00396421732885982+0.0572052587068733+0.752028927432513)) * 3.73705049099047%</f>
        <v>3.1112517266013197E-2</v>
      </c>
      <c r="D2883" s="4">
        <f t="shared" si="1530"/>
        <v>3.1112517266013197E-2</v>
      </c>
      <c r="E2883" s="4">
        <f t="shared" si="1530"/>
        <v>3.1112517266013197E-2</v>
      </c>
      <c r="F2883" s="4">
        <f t="shared" si="1530"/>
        <v>3.1112517266013197E-2</v>
      </c>
      <c r="G2883" s="4">
        <f t="shared" si="1530"/>
        <v>3.1112517266013197E-2</v>
      </c>
      <c r="H2883" s="4">
        <f t="shared" si="1530"/>
        <v>3.1112517266013197E-2</v>
      </c>
      <c r="I2883" s="4">
        <f t="shared" si="1530"/>
        <v>3.1112517266013197E-2</v>
      </c>
      <c r="J2883" s="4">
        <f t="shared" si="1530"/>
        <v>3.1112517266013197E-2</v>
      </c>
      <c r="K2883" s="4">
        <f t="shared" si="1530"/>
        <v>3.1112517266013197E-2</v>
      </c>
      <c r="L2883" s="4">
        <f t="shared" si="1530"/>
        <v>3.1112517266013197E-2</v>
      </c>
      <c r="M2883" s="4">
        <f t="shared" si="1530"/>
        <v>3.1112517266013197E-2</v>
      </c>
      <c r="N2883" t="s">
        <v>256</v>
      </c>
      <c r="O2883" t="s">
        <v>354</v>
      </c>
      <c r="P2883" t="s">
        <v>424</v>
      </c>
      <c r="Q2883" s="4" t="s">
        <v>245</v>
      </c>
    </row>
    <row r="2884" spans="1:17" x14ac:dyDescent="0.25">
      <c r="A2884" t="s">
        <v>424</v>
      </c>
      <c r="B2884" t="s">
        <v>148</v>
      </c>
      <c r="C2884" s="4">
        <f t="shared" ref="C2884:M2884" si="1531">(0.0900940072589024/(0.0900940072589024+0.00396421732885982+0.0572052587068733+0.752028927432513)) * 0.0271087778718865%</f>
        <v>2.7038181671466029E-5</v>
      </c>
      <c r="D2884" s="4">
        <f t="shared" si="1531"/>
        <v>2.7038181671466029E-5</v>
      </c>
      <c r="E2884" s="4">
        <f t="shared" si="1531"/>
        <v>2.7038181671466029E-5</v>
      </c>
      <c r="F2884" s="4">
        <f t="shared" si="1531"/>
        <v>2.7038181671466029E-5</v>
      </c>
      <c r="G2884" s="4">
        <f t="shared" si="1531"/>
        <v>2.7038181671466029E-5</v>
      </c>
      <c r="H2884" s="4">
        <f t="shared" si="1531"/>
        <v>2.7038181671466029E-5</v>
      </c>
      <c r="I2884" s="4">
        <f t="shared" si="1531"/>
        <v>2.7038181671466029E-5</v>
      </c>
      <c r="J2884" s="4">
        <f t="shared" si="1531"/>
        <v>2.7038181671466029E-5</v>
      </c>
      <c r="K2884" s="4">
        <f t="shared" si="1531"/>
        <v>2.7038181671466029E-5</v>
      </c>
      <c r="L2884" s="4">
        <f t="shared" si="1531"/>
        <v>2.7038181671466029E-5</v>
      </c>
      <c r="M2884" s="4">
        <f t="shared" si="1531"/>
        <v>2.7038181671466029E-5</v>
      </c>
      <c r="N2884" t="s">
        <v>242</v>
      </c>
      <c r="O2884" t="s">
        <v>358</v>
      </c>
      <c r="P2884" t="s">
        <v>424</v>
      </c>
      <c r="Q2884" s="4" t="s">
        <v>245</v>
      </c>
    </row>
    <row r="2885" spans="1:17" x14ac:dyDescent="0.25">
      <c r="A2885" t="s">
        <v>424</v>
      </c>
      <c r="B2885" t="s">
        <v>148</v>
      </c>
      <c r="C2885" s="4">
        <f t="shared" ref="C2885:M2885" si="1532">(0.00396421732885982/(0.0900940072589024+0.00396421732885982+0.0572052587068733+0.752028927432513))  * 0.0271087778718865%</f>
        <v>1.1897043053581614E-6</v>
      </c>
      <c r="D2885" s="4">
        <f t="shared" si="1532"/>
        <v>1.1897043053581614E-6</v>
      </c>
      <c r="E2885" s="4">
        <f t="shared" si="1532"/>
        <v>1.1897043053581614E-6</v>
      </c>
      <c r="F2885" s="4">
        <f t="shared" si="1532"/>
        <v>1.1897043053581614E-6</v>
      </c>
      <c r="G2885" s="4">
        <f t="shared" si="1532"/>
        <v>1.1897043053581614E-6</v>
      </c>
      <c r="H2885" s="4">
        <f t="shared" si="1532"/>
        <v>1.1897043053581614E-6</v>
      </c>
      <c r="I2885" s="4">
        <f t="shared" si="1532"/>
        <v>1.1897043053581614E-6</v>
      </c>
      <c r="J2885" s="4">
        <f t="shared" si="1532"/>
        <v>1.1897043053581614E-6</v>
      </c>
      <c r="K2885" s="4">
        <f t="shared" si="1532"/>
        <v>1.1897043053581614E-6</v>
      </c>
      <c r="L2885" s="4">
        <f t="shared" si="1532"/>
        <v>1.1897043053581614E-6</v>
      </c>
      <c r="M2885" s="4">
        <f t="shared" si="1532"/>
        <v>1.1897043053581614E-6</v>
      </c>
      <c r="N2885" t="s">
        <v>256</v>
      </c>
      <c r="O2885" t="s">
        <v>353</v>
      </c>
      <c r="P2885" t="s">
        <v>424</v>
      </c>
      <c r="Q2885" s="4" t="s">
        <v>245</v>
      </c>
    </row>
    <row r="2886" spans="1:17" x14ac:dyDescent="0.25">
      <c r="A2886" t="s">
        <v>424</v>
      </c>
      <c r="B2886" t="s">
        <v>148</v>
      </c>
      <c r="C2886" s="4">
        <f t="shared" ref="C2886:M2886" si="1533">(0.0572052587068733/(0.0900940072589024+0.00396421732885982+0.0572052587068733+0.752028927432513)) * 0.0271087778718865%</f>
        <v>1.7167914099267888E-5</v>
      </c>
      <c r="D2886" s="4">
        <f t="shared" si="1533"/>
        <v>1.7167914099267888E-5</v>
      </c>
      <c r="E2886" s="4">
        <f t="shared" si="1533"/>
        <v>1.7167914099267888E-5</v>
      </c>
      <c r="F2886" s="4">
        <f t="shared" si="1533"/>
        <v>1.7167914099267888E-5</v>
      </c>
      <c r="G2886" s="4">
        <f t="shared" si="1533"/>
        <v>1.7167914099267888E-5</v>
      </c>
      <c r="H2886" s="4">
        <f t="shared" si="1533"/>
        <v>1.7167914099267888E-5</v>
      </c>
      <c r="I2886" s="4">
        <f t="shared" si="1533"/>
        <v>1.7167914099267888E-5</v>
      </c>
      <c r="J2886" s="4">
        <f t="shared" si="1533"/>
        <v>1.7167914099267888E-5</v>
      </c>
      <c r="K2886" s="4">
        <f t="shared" si="1533"/>
        <v>1.7167914099267888E-5</v>
      </c>
      <c r="L2886" s="4">
        <f t="shared" si="1533"/>
        <v>1.7167914099267888E-5</v>
      </c>
      <c r="M2886" s="4">
        <f t="shared" si="1533"/>
        <v>1.7167914099267888E-5</v>
      </c>
      <c r="N2886" t="s">
        <v>256</v>
      </c>
      <c r="O2886" t="s">
        <v>280</v>
      </c>
      <c r="P2886" t="s">
        <v>424</v>
      </c>
      <c r="Q2886" s="4" t="s">
        <v>245</v>
      </c>
    </row>
    <row r="2887" spans="1:17" x14ac:dyDescent="0.25">
      <c r="A2887" t="s">
        <v>424</v>
      </c>
      <c r="B2887" t="s">
        <v>148</v>
      </c>
      <c r="C2887" s="4">
        <f t="shared" ref="C2887:M2887" si="1534">(0.752028927432513/(0.0900940072589024+0.00396421732885982+0.0572052587068733+0.752028927432513)) * 0.0271087778718865%</f>
        <v>2.2569197864277292E-4</v>
      </c>
      <c r="D2887" s="4">
        <f t="shared" si="1534"/>
        <v>2.2569197864277292E-4</v>
      </c>
      <c r="E2887" s="4">
        <f t="shared" si="1534"/>
        <v>2.2569197864277292E-4</v>
      </c>
      <c r="F2887" s="4">
        <f t="shared" si="1534"/>
        <v>2.2569197864277292E-4</v>
      </c>
      <c r="G2887" s="4">
        <f t="shared" si="1534"/>
        <v>2.2569197864277292E-4</v>
      </c>
      <c r="H2887" s="4">
        <f t="shared" si="1534"/>
        <v>2.2569197864277292E-4</v>
      </c>
      <c r="I2887" s="4">
        <f t="shared" si="1534"/>
        <v>2.2569197864277292E-4</v>
      </c>
      <c r="J2887" s="4">
        <f t="shared" si="1534"/>
        <v>2.2569197864277292E-4</v>
      </c>
      <c r="K2887" s="4">
        <f t="shared" si="1534"/>
        <v>2.2569197864277292E-4</v>
      </c>
      <c r="L2887" s="4">
        <f t="shared" si="1534"/>
        <v>2.2569197864277292E-4</v>
      </c>
      <c r="M2887" s="4">
        <f t="shared" si="1534"/>
        <v>2.2569197864277292E-4</v>
      </c>
      <c r="N2887" t="s">
        <v>256</v>
      </c>
      <c r="O2887" t="s">
        <v>354</v>
      </c>
      <c r="P2887" t="s">
        <v>424</v>
      </c>
      <c r="Q2887" s="4" t="s">
        <v>245</v>
      </c>
    </row>
    <row r="2888" spans="1:17" x14ac:dyDescent="0.25">
      <c r="A2888" t="s">
        <v>424</v>
      </c>
      <c r="B2888" t="s">
        <v>149</v>
      </c>
      <c r="C2888" s="4">
        <f t="shared" ref="C2888:M2888" si="1535">(0.0900940072589024/(0.0900940072589024+0.00396421732885982+0.0572052587068733+0.752028927432513)) * 0.183474862417338%</f>
        <v>1.8299706042196421E-4</v>
      </c>
      <c r="D2888" s="4">
        <f t="shared" si="1535"/>
        <v>1.8299706042196421E-4</v>
      </c>
      <c r="E2888" s="4">
        <f t="shared" si="1535"/>
        <v>1.8299706042196421E-4</v>
      </c>
      <c r="F2888" s="4">
        <f t="shared" si="1535"/>
        <v>1.8299706042196421E-4</v>
      </c>
      <c r="G2888" s="4">
        <f t="shared" si="1535"/>
        <v>1.8299706042196421E-4</v>
      </c>
      <c r="H2888" s="4">
        <f t="shared" si="1535"/>
        <v>1.8299706042196421E-4</v>
      </c>
      <c r="I2888" s="4">
        <f t="shared" si="1535"/>
        <v>1.8299706042196421E-4</v>
      </c>
      <c r="J2888" s="4">
        <f t="shared" si="1535"/>
        <v>1.8299706042196421E-4</v>
      </c>
      <c r="K2888" s="4">
        <f t="shared" si="1535"/>
        <v>1.8299706042196421E-4</v>
      </c>
      <c r="L2888" s="4">
        <f t="shared" si="1535"/>
        <v>1.8299706042196421E-4</v>
      </c>
      <c r="M2888" s="4">
        <f t="shared" si="1535"/>
        <v>1.8299706042196421E-4</v>
      </c>
      <c r="N2888" t="s">
        <v>242</v>
      </c>
      <c r="O2888" t="s">
        <v>358</v>
      </c>
      <c r="P2888" t="s">
        <v>424</v>
      </c>
      <c r="Q2888" s="4" t="s">
        <v>245</v>
      </c>
    </row>
    <row r="2889" spans="1:17" x14ac:dyDescent="0.25">
      <c r="A2889" t="s">
        <v>424</v>
      </c>
      <c r="B2889" t="s">
        <v>149</v>
      </c>
      <c r="C2889" s="4">
        <f t="shared" ref="C2889:M2889" si="1536">(0.00396421732885982/(0.0900940072589024+0.00396421732885982+0.0572052587068733+0.752028927432513))  * 0.183474862417338%</f>
        <v>8.0520352033012236E-6</v>
      </c>
      <c r="D2889" s="4">
        <f t="shared" si="1536"/>
        <v>8.0520352033012236E-6</v>
      </c>
      <c r="E2889" s="4">
        <f t="shared" si="1536"/>
        <v>8.0520352033012236E-6</v>
      </c>
      <c r="F2889" s="4">
        <f t="shared" si="1536"/>
        <v>8.0520352033012236E-6</v>
      </c>
      <c r="G2889" s="4">
        <f t="shared" si="1536"/>
        <v>8.0520352033012236E-6</v>
      </c>
      <c r="H2889" s="4">
        <f t="shared" si="1536"/>
        <v>8.0520352033012236E-6</v>
      </c>
      <c r="I2889" s="4">
        <f t="shared" si="1536"/>
        <v>8.0520352033012236E-6</v>
      </c>
      <c r="J2889" s="4">
        <f t="shared" si="1536"/>
        <v>8.0520352033012236E-6</v>
      </c>
      <c r="K2889" s="4">
        <f t="shared" si="1536"/>
        <v>8.0520352033012236E-6</v>
      </c>
      <c r="L2889" s="4">
        <f t="shared" si="1536"/>
        <v>8.0520352033012236E-6</v>
      </c>
      <c r="M2889" s="4">
        <f t="shared" si="1536"/>
        <v>8.0520352033012236E-6</v>
      </c>
      <c r="N2889" t="s">
        <v>256</v>
      </c>
      <c r="O2889" t="s">
        <v>353</v>
      </c>
      <c r="P2889" t="s">
        <v>424</v>
      </c>
      <c r="Q2889" s="4" t="s">
        <v>245</v>
      </c>
    </row>
    <row r="2890" spans="1:17" x14ac:dyDescent="0.25">
      <c r="A2890" t="s">
        <v>424</v>
      </c>
      <c r="B2890" t="s">
        <v>149</v>
      </c>
      <c r="C2890" s="4">
        <f t="shared" ref="C2890:M2890" si="1537">(0.0572052587068733/(0.0900940072589024+0.00396421732885982+0.0572052587068733+0.752028927432513)) * 0.183474862417338%</f>
        <v>1.1619412325564394E-4</v>
      </c>
      <c r="D2890" s="4">
        <f t="shared" si="1537"/>
        <v>1.1619412325564394E-4</v>
      </c>
      <c r="E2890" s="4">
        <f t="shared" si="1537"/>
        <v>1.1619412325564394E-4</v>
      </c>
      <c r="F2890" s="4">
        <f t="shared" si="1537"/>
        <v>1.1619412325564394E-4</v>
      </c>
      <c r="G2890" s="4">
        <f t="shared" si="1537"/>
        <v>1.1619412325564394E-4</v>
      </c>
      <c r="H2890" s="4">
        <f t="shared" si="1537"/>
        <v>1.1619412325564394E-4</v>
      </c>
      <c r="I2890" s="4">
        <f t="shared" si="1537"/>
        <v>1.1619412325564394E-4</v>
      </c>
      <c r="J2890" s="4">
        <f t="shared" si="1537"/>
        <v>1.1619412325564394E-4</v>
      </c>
      <c r="K2890" s="4">
        <f t="shared" si="1537"/>
        <v>1.1619412325564394E-4</v>
      </c>
      <c r="L2890" s="4">
        <f t="shared" si="1537"/>
        <v>1.1619412325564394E-4</v>
      </c>
      <c r="M2890" s="4">
        <f t="shared" si="1537"/>
        <v>1.1619412325564394E-4</v>
      </c>
      <c r="N2890" t="s">
        <v>256</v>
      </c>
      <c r="O2890" t="s">
        <v>280</v>
      </c>
      <c r="P2890" t="s">
        <v>424</v>
      </c>
      <c r="Q2890" s="4" t="s">
        <v>245</v>
      </c>
    </row>
    <row r="2891" spans="1:17" x14ac:dyDescent="0.25">
      <c r="A2891" t="s">
        <v>424</v>
      </c>
      <c r="B2891" t="s">
        <v>149</v>
      </c>
      <c r="C2891" s="4">
        <f t="shared" ref="C2891:M2891" si="1538">(0.752028927432513/(0.0900940072589024+0.00396421732885982+0.0572052587068733+0.752028927432513)) * 0.183474862417338%</f>
        <v>1.5275054052924708E-3</v>
      </c>
      <c r="D2891" s="4">
        <f t="shared" si="1538"/>
        <v>1.5275054052924708E-3</v>
      </c>
      <c r="E2891" s="4">
        <f t="shared" si="1538"/>
        <v>1.5275054052924708E-3</v>
      </c>
      <c r="F2891" s="4">
        <f t="shared" si="1538"/>
        <v>1.5275054052924708E-3</v>
      </c>
      <c r="G2891" s="4">
        <f t="shared" si="1538"/>
        <v>1.5275054052924708E-3</v>
      </c>
      <c r="H2891" s="4">
        <f t="shared" si="1538"/>
        <v>1.5275054052924708E-3</v>
      </c>
      <c r="I2891" s="4">
        <f t="shared" si="1538"/>
        <v>1.5275054052924708E-3</v>
      </c>
      <c r="J2891" s="4">
        <f t="shared" si="1538"/>
        <v>1.5275054052924708E-3</v>
      </c>
      <c r="K2891" s="4">
        <f t="shared" si="1538"/>
        <v>1.5275054052924708E-3</v>
      </c>
      <c r="L2891" s="4">
        <f t="shared" si="1538"/>
        <v>1.5275054052924708E-3</v>
      </c>
      <c r="M2891" s="4">
        <f t="shared" si="1538"/>
        <v>1.5275054052924708E-3</v>
      </c>
      <c r="N2891" t="s">
        <v>256</v>
      </c>
      <c r="O2891" t="s">
        <v>354</v>
      </c>
      <c r="P2891" t="s">
        <v>424</v>
      </c>
      <c r="Q2891" s="4" t="s">
        <v>245</v>
      </c>
    </row>
    <row r="2892" spans="1:17" x14ac:dyDescent="0.25">
      <c r="A2892" t="s">
        <v>424</v>
      </c>
      <c r="B2892" t="s">
        <v>170</v>
      </c>
      <c r="C2892" s="4">
        <f t="shared" ref="C2892:M2892" si="1539">(0.0900940072589024/(0.0900940072589024+0.00396421732885982+0.0572052587068733+0.752028927432513)) * 0.0495382128526813%</f>
        <v>4.9409206313930364E-5</v>
      </c>
      <c r="D2892" s="4">
        <f t="shared" si="1539"/>
        <v>4.9409206313930364E-5</v>
      </c>
      <c r="E2892" s="4">
        <f t="shared" si="1539"/>
        <v>4.9409206313930364E-5</v>
      </c>
      <c r="F2892" s="4">
        <f t="shared" si="1539"/>
        <v>4.9409206313930364E-5</v>
      </c>
      <c r="G2892" s="4">
        <f t="shared" si="1539"/>
        <v>4.9409206313930364E-5</v>
      </c>
      <c r="H2892" s="4">
        <f t="shared" si="1539"/>
        <v>4.9409206313930364E-5</v>
      </c>
      <c r="I2892" s="4">
        <f t="shared" si="1539"/>
        <v>4.9409206313930364E-5</v>
      </c>
      <c r="J2892" s="4">
        <f t="shared" si="1539"/>
        <v>4.9409206313930364E-5</v>
      </c>
      <c r="K2892" s="4">
        <f t="shared" si="1539"/>
        <v>4.9409206313930364E-5</v>
      </c>
      <c r="L2892" s="4">
        <f t="shared" si="1539"/>
        <v>4.9409206313930364E-5</v>
      </c>
      <c r="M2892" s="4">
        <f t="shared" si="1539"/>
        <v>4.9409206313930364E-5</v>
      </c>
      <c r="N2892" t="s">
        <v>242</v>
      </c>
      <c r="O2892" t="s">
        <v>358</v>
      </c>
      <c r="P2892" t="s">
        <v>424</v>
      </c>
      <c r="Q2892" s="4" t="s">
        <v>245</v>
      </c>
    </row>
    <row r="2893" spans="1:17" x14ac:dyDescent="0.25">
      <c r="A2893" t="s">
        <v>424</v>
      </c>
      <c r="B2893" t="s">
        <v>170</v>
      </c>
      <c r="C2893" s="4">
        <f t="shared" ref="C2893:M2893" si="1540">(0.00396421732885982/(0.0900940072589024+0.00396421732885982+0.0572052587068733+0.752028927432513))  * 0.0495382128526813%</f>
        <v>2.1740495048913318E-6</v>
      </c>
      <c r="D2893" s="4">
        <f t="shared" si="1540"/>
        <v>2.1740495048913318E-6</v>
      </c>
      <c r="E2893" s="4">
        <f t="shared" si="1540"/>
        <v>2.1740495048913318E-6</v>
      </c>
      <c r="F2893" s="4">
        <f t="shared" si="1540"/>
        <v>2.1740495048913318E-6</v>
      </c>
      <c r="G2893" s="4">
        <f t="shared" si="1540"/>
        <v>2.1740495048913318E-6</v>
      </c>
      <c r="H2893" s="4">
        <f t="shared" si="1540"/>
        <v>2.1740495048913318E-6</v>
      </c>
      <c r="I2893" s="4">
        <f t="shared" si="1540"/>
        <v>2.1740495048913318E-6</v>
      </c>
      <c r="J2893" s="4">
        <f t="shared" si="1540"/>
        <v>2.1740495048913318E-6</v>
      </c>
      <c r="K2893" s="4">
        <f t="shared" si="1540"/>
        <v>2.1740495048913318E-6</v>
      </c>
      <c r="L2893" s="4">
        <f t="shared" si="1540"/>
        <v>2.1740495048913318E-6</v>
      </c>
      <c r="M2893" s="4">
        <f t="shared" si="1540"/>
        <v>2.1740495048913318E-6</v>
      </c>
      <c r="N2893" t="s">
        <v>256</v>
      </c>
      <c r="O2893" t="s">
        <v>353</v>
      </c>
      <c r="P2893" t="s">
        <v>424</v>
      </c>
      <c r="Q2893" s="4" t="s">
        <v>245</v>
      </c>
    </row>
    <row r="2894" spans="1:17" x14ac:dyDescent="0.25">
      <c r="A2894" t="s">
        <v>424</v>
      </c>
      <c r="B2894" t="s">
        <v>170</v>
      </c>
      <c r="C2894" s="4">
        <f t="shared" ref="C2894:M2894" si="1541">(0.0572052587068733/(0.0900940072589024+0.00396421732885982+0.0572052587068733+0.752028927432513)) * 0.0495382128526813%</f>
        <v>3.1372413279023888E-5</v>
      </c>
      <c r="D2894" s="4">
        <f t="shared" si="1541"/>
        <v>3.1372413279023888E-5</v>
      </c>
      <c r="E2894" s="4">
        <f t="shared" si="1541"/>
        <v>3.1372413279023888E-5</v>
      </c>
      <c r="F2894" s="4">
        <f t="shared" si="1541"/>
        <v>3.1372413279023888E-5</v>
      </c>
      <c r="G2894" s="4">
        <f t="shared" si="1541"/>
        <v>3.1372413279023888E-5</v>
      </c>
      <c r="H2894" s="4">
        <f t="shared" si="1541"/>
        <v>3.1372413279023888E-5</v>
      </c>
      <c r="I2894" s="4">
        <f t="shared" si="1541"/>
        <v>3.1372413279023888E-5</v>
      </c>
      <c r="J2894" s="4">
        <f t="shared" si="1541"/>
        <v>3.1372413279023888E-5</v>
      </c>
      <c r="K2894" s="4">
        <f t="shared" si="1541"/>
        <v>3.1372413279023888E-5</v>
      </c>
      <c r="L2894" s="4">
        <f t="shared" si="1541"/>
        <v>3.1372413279023888E-5</v>
      </c>
      <c r="M2894" s="4">
        <f t="shared" si="1541"/>
        <v>3.1372413279023888E-5</v>
      </c>
      <c r="N2894" t="s">
        <v>256</v>
      </c>
      <c r="O2894" t="s">
        <v>280</v>
      </c>
      <c r="P2894" t="s">
        <v>424</v>
      </c>
      <c r="Q2894" s="4" t="s">
        <v>245</v>
      </c>
    </row>
    <row r="2895" spans="1:17" x14ac:dyDescent="0.25">
      <c r="A2895" t="s">
        <v>424</v>
      </c>
      <c r="B2895" t="s">
        <v>170</v>
      </c>
      <c r="C2895" s="4">
        <f t="shared" ref="C2895:M2895" si="1542">(0.752028927432513/(0.0900940072589024+0.00396421732885982+0.0572052587068733+0.752028927432513)) * 0.0495382128526813%</f>
        <v>4.1242645942896739E-4</v>
      </c>
      <c r="D2895" s="4">
        <f t="shared" si="1542"/>
        <v>4.1242645942896739E-4</v>
      </c>
      <c r="E2895" s="4">
        <f t="shared" si="1542"/>
        <v>4.1242645942896739E-4</v>
      </c>
      <c r="F2895" s="4">
        <f t="shared" si="1542"/>
        <v>4.1242645942896739E-4</v>
      </c>
      <c r="G2895" s="4">
        <f t="shared" si="1542"/>
        <v>4.1242645942896739E-4</v>
      </c>
      <c r="H2895" s="4">
        <f t="shared" si="1542"/>
        <v>4.1242645942896739E-4</v>
      </c>
      <c r="I2895" s="4">
        <f t="shared" si="1542"/>
        <v>4.1242645942896739E-4</v>
      </c>
      <c r="J2895" s="4">
        <f t="shared" si="1542"/>
        <v>4.1242645942896739E-4</v>
      </c>
      <c r="K2895" s="4">
        <f t="shared" si="1542"/>
        <v>4.1242645942896739E-4</v>
      </c>
      <c r="L2895" s="4">
        <f t="shared" si="1542"/>
        <v>4.1242645942896739E-4</v>
      </c>
      <c r="M2895" s="4">
        <f t="shared" si="1542"/>
        <v>4.1242645942896739E-4</v>
      </c>
      <c r="N2895" t="s">
        <v>256</v>
      </c>
      <c r="O2895" t="s">
        <v>354</v>
      </c>
      <c r="P2895" t="s">
        <v>424</v>
      </c>
      <c r="Q2895" s="4" t="s">
        <v>245</v>
      </c>
    </row>
    <row r="2896" spans="1:17" x14ac:dyDescent="0.25">
      <c r="A2896" t="s">
        <v>424</v>
      </c>
      <c r="B2896" t="s">
        <v>171</v>
      </c>
      <c r="C2896" s="4">
        <f t="shared" ref="C2896:M2896" si="1543">(0.0900940072589024/(0.0900940072589024+0.00396421732885982+0.0572052587068733+0.752028927432513)) * 0.122134812514524%</f>
        <v>1.2181675119345155E-4</v>
      </c>
      <c r="D2896" s="4">
        <f t="shared" si="1543"/>
        <v>1.2181675119345155E-4</v>
      </c>
      <c r="E2896" s="4">
        <f t="shared" si="1543"/>
        <v>1.2181675119345155E-4</v>
      </c>
      <c r="F2896" s="4">
        <f t="shared" si="1543"/>
        <v>1.2181675119345155E-4</v>
      </c>
      <c r="G2896" s="4">
        <f t="shared" si="1543"/>
        <v>1.2181675119345155E-4</v>
      </c>
      <c r="H2896" s="4">
        <f t="shared" si="1543"/>
        <v>1.2181675119345155E-4</v>
      </c>
      <c r="I2896" s="4">
        <f t="shared" si="1543"/>
        <v>1.2181675119345155E-4</v>
      </c>
      <c r="J2896" s="4">
        <f t="shared" si="1543"/>
        <v>1.2181675119345155E-4</v>
      </c>
      <c r="K2896" s="4">
        <f t="shared" si="1543"/>
        <v>1.2181675119345155E-4</v>
      </c>
      <c r="L2896" s="4">
        <f t="shared" si="1543"/>
        <v>1.2181675119345155E-4</v>
      </c>
      <c r="M2896" s="4">
        <f t="shared" si="1543"/>
        <v>1.2181675119345155E-4</v>
      </c>
      <c r="N2896" t="s">
        <v>242</v>
      </c>
      <c r="O2896" t="s">
        <v>358</v>
      </c>
      <c r="P2896" t="s">
        <v>424</v>
      </c>
      <c r="Q2896" s="4" t="s">
        <v>245</v>
      </c>
    </row>
    <row r="2897" spans="1:17" x14ac:dyDescent="0.25">
      <c r="A2897" t="s">
        <v>424</v>
      </c>
      <c r="B2897" t="s">
        <v>171</v>
      </c>
      <c r="C2897" s="4">
        <f t="shared" ref="C2897:M2897" si="1544">(0.00396421732885982/(0.0900940072589024+0.00396421732885982+0.0572052587068733+0.752028927432513))  * 0.122134812514524%</f>
        <v>5.36004658599275E-6</v>
      </c>
      <c r="D2897" s="4">
        <f t="shared" si="1544"/>
        <v>5.36004658599275E-6</v>
      </c>
      <c r="E2897" s="4">
        <f t="shared" si="1544"/>
        <v>5.36004658599275E-6</v>
      </c>
      <c r="F2897" s="4">
        <f t="shared" si="1544"/>
        <v>5.36004658599275E-6</v>
      </c>
      <c r="G2897" s="4">
        <f t="shared" si="1544"/>
        <v>5.36004658599275E-6</v>
      </c>
      <c r="H2897" s="4">
        <f t="shared" si="1544"/>
        <v>5.36004658599275E-6</v>
      </c>
      <c r="I2897" s="4">
        <f t="shared" si="1544"/>
        <v>5.36004658599275E-6</v>
      </c>
      <c r="J2897" s="4">
        <f t="shared" si="1544"/>
        <v>5.36004658599275E-6</v>
      </c>
      <c r="K2897" s="4">
        <f t="shared" si="1544"/>
        <v>5.36004658599275E-6</v>
      </c>
      <c r="L2897" s="4">
        <f t="shared" si="1544"/>
        <v>5.36004658599275E-6</v>
      </c>
      <c r="M2897" s="4">
        <f t="shared" si="1544"/>
        <v>5.36004658599275E-6</v>
      </c>
      <c r="N2897" t="s">
        <v>256</v>
      </c>
      <c r="O2897" t="s">
        <v>353</v>
      </c>
      <c r="P2897" t="s">
        <v>424</v>
      </c>
      <c r="Q2897" s="4" t="s">
        <v>245</v>
      </c>
    </row>
    <row r="2898" spans="1:17" x14ac:dyDescent="0.25">
      <c r="A2898" t="s">
        <v>424</v>
      </c>
      <c r="B2898" t="s">
        <v>171</v>
      </c>
      <c r="C2898" s="4">
        <f t="shared" ref="C2898:M2898" si="1545">(0.0572052587068733/(0.0900940072589024+0.00396421732885982+0.0572052587068733+0.752028927432513)) * 0.122134812514524%</f>
        <v>7.73476391923241E-5</v>
      </c>
      <c r="D2898" s="4">
        <f t="shared" si="1545"/>
        <v>7.73476391923241E-5</v>
      </c>
      <c r="E2898" s="4">
        <f t="shared" si="1545"/>
        <v>7.73476391923241E-5</v>
      </c>
      <c r="F2898" s="4">
        <f t="shared" si="1545"/>
        <v>7.73476391923241E-5</v>
      </c>
      <c r="G2898" s="4">
        <f t="shared" si="1545"/>
        <v>7.73476391923241E-5</v>
      </c>
      <c r="H2898" s="4">
        <f t="shared" si="1545"/>
        <v>7.73476391923241E-5</v>
      </c>
      <c r="I2898" s="4">
        <f t="shared" si="1545"/>
        <v>7.73476391923241E-5</v>
      </c>
      <c r="J2898" s="4">
        <f t="shared" si="1545"/>
        <v>7.73476391923241E-5</v>
      </c>
      <c r="K2898" s="4">
        <f t="shared" si="1545"/>
        <v>7.73476391923241E-5</v>
      </c>
      <c r="L2898" s="4">
        <f t="shared" si="1545"/>
        <v>7.73476391923241E-5</v>
      </c>
      <c r="M2898" s="4">
        <f t="shared" si="1545"/>
        <v>7.73476391923241E-5</v>
      </c>
      <c r="N2898" t="s">
        <v>256</v>
      </c>
      <c r="O2898" t="s">
        <v>280</v>
      </c>
      <c r="P2898" t="s">
        <v>424</v>
      </c>
      <c r="Q2898" s="4" t="s">
        <v>245</v>
      </c>
    </row>
    <row r="2899" spans="1:17" x14ac:dyDescent="0.25">
      <c r="A2899" t="s">
        <v>424</v>
      </c>
      <c r="B2899" t="s">
        <v>171</v>
      </c>
      <c r="C2899" s="4">
        <f t="shared" ref="C2899:M2899" si="1546">(0.752028927432513/(0.0900940072589024+0.00396421732885982+0.0572052587068733+0.752028927432513)) * 0.122134812514524%</f>
        <v>1.0168236881734716E-3</v>
      </c>
      <c r="D2899" s="4">
        <f t="shared" si="1546"/>
        <v>1.0168236881734716E-3</v>
      </c>
      <c r="E2899" s="4">
        <f t="shared" si="1546"/>
        <v>1.0168236881734716E-3</v>
      </c>
      <c r="F2899" s="4">
        <f t="shared" si="1546"/>
        <v>1.0168236881734716E-3</v>
      </c>
      <c r="G2899" s="4">
        <f t="shared" si="1546"/>
        <v>1.0168236881734716E-3</v>
      </c>
      <c r="H2899" s="4">
        <f t="shared" si="1546"/>
        <v>1.0168236881734716E-3</v>
      </c>
      <c r="I2899" s="4">
        <f t="shared" si="1546"/>
        <v>1.0168236881734716E-3</v>
      </c>
      <c r="J2899" s="4">
        <f t="shared" si="1546"/>
        <v>1.0168236881734716E-3</v>
      </c>
      <c r="K2899" s="4">
        <f t="shared" si="1546"/>
        <v>1.0168236881734716E-3</v>
      </c>
      <c r="L2899" s="4">
        <f t="shared" si="1546"/>
        <v>1.0168236881734716E-3</v>
      </c>
      <c r="M2899" s="4">
        <f t="shared" si="1546"/>
        <v>1.0168236881734716E-3</v>
      </c>
      <c r="N2899" t="s">
        <v>256</v>
      </c>
      <c r="O2899" t="s">
        <v>354</v>
      </c>
      <c r="P2899" t="s">
        <v>424</v>
      </c>
      <c r="Q2899" s="4" t="s">
        <v>245</v>
      </c>
    </row>
    <row r="2900" spans="1:17" x14ac:dyDescent="0.25">
      <c r="A2900" t="s">
        <v>424</v>
      </c>
      <c r="B2900" t="s">
        <v>103</v>
      </c>
      <c r="C2900" s="4">
        <f t="shared" ref="C2900:M2900" si="1547">(0.0900940072589024/(0.0900940072589024+0.00396421732885982+0.0572052587068733+0.752028927432513)) * 0.00346840879913736%</f>
        <v>3.4593764302168139E-6</v>
      </c>
      <c r="D2900" s="4">
        <f t="shared" si="1547"/>
        <v>3.4593764302168139E-6</v>
      </c>
      <c r="E2900" s="4">
        <f t="shared" si="1547"/>
        <v>3.4593764302168139E-6</v>
      </c>
      <c r="F2900" s="4">
        <f t="shared" si="1547"/>
        <v>3.4593764302168139E-6</v>
      </c>
      <c r="G2900" s="4">
        <f t="shared" si="1547"/>
        <v>3.4593764302168139E-6</v>
      </c>
      <c r="H2900" s="4">
        <f t="shared" si="1547"/>
        <v>3.4593764302168139E-6</v>
      </c>
      <c r="I2900" s="4">
        <f t="shared" si="1547"/>
        <v>3.4593764302168139E-6</v>
      </c>
      <c r="J2900" s="4">
        <f t="shared" si="1547"/>
        <v>3.4593764302168139E-6</v>
      </c>
      <c r="K2900" s="4">
        <f t="shared" si="1547"/>
        <v>3.4593764302168139E-6</v>
      </c>
      <c r="L2900" s="4">
        <f t="shared" si="1547"/>
        <v>3.4593764302168139E-6</v>
      </c>
      <c r="M2900" s="4">
        <f t="shared" si="1547"/>
        <v>3.4593764302168139E-6</v>
      </c>
      <c r="N2900" t="s">
        <v>242</v>
      </c>
      <c r="O2900" t="s">
        <v>358</v>
      </c>
      <c r="P2900" t="s">
        <v>424</v>
      </c>
      <c r="Q2900" s="4" t="s">
        <v>245</v>
      </c>
    </row>
    <row r="2901" spans="1:17" x14ac:dyDescent="0.25">
      <c r="A2901" t="s">
        <v>424</v>
      </c>
      <c r="B2901" t="s">
        <v>103</v>
      </c>
      <c r="C2901" s="4">
        <f t="shared" ref="C2901:M2901" si="1548">(0.00396421732885982/(0.0900940072589024+0.00396421732885982+0.0572052587068733+0.752028927432513))  * 0.00346840879913736%</f>
        <v>1.5221567348320646E-7</v>
      </c>
      <c r="D2901" s="4">
        <f t="shared" si="1548"/>
        <v>1.5221567348320646E-7</v>
      </c>
      <c r="E2901" s="4">
        <f t="shared" si="1548"/>
        <v>1.5221567348320646E-7</v>
      </c>
      <c r="F2901" s="4">
        <f t="shared" si="1548"/>
        <v>1.5221567348320646E-7</v>
      </c>
      <c r="G2901" s="4">
        <f t="shared" si="1548"/>
        <v>1.5221567348320646E-7</v>
      </c>
      <c r="H2901" s="4">
        <f t="shared" si="1548"/>
        <v>1.5221567348320646E-7</v>
      </c>
      <c r="I2901" s="4">
        <f t="shared" si="1548"/>
        <v>1.5221567348320646E-7</v>
      </c>
      <c r="J2901" s="4">
        <f t="shared" si="1548"/>
        <v>1.5221567348320646E-7</v>
      </c>
      <c r="K2901" s="4">
        <f t="shared" si="1548"/>
        <v>1.5221567348320646E-7</v>
      </c>
      <c r="L2901" s="4">
        <f t="shared" si="1548"/>
        <v>1.5221567348320646E-7</v>
      </c>
      <c r="M2901" s="4">
        <f t="shared" si="1548"/>
        <v>1.5221567348320646E-7</v>
      </c>
      <c r="N2901" t="s">
        <v>256</v>
      </c>
      <c r="O2901" t="s">
        <v>353</v>
      </c>
      <c r="P2901" t="s">
        <v>424</v>
      </c>
      <c r="Q2901" s="4" t="s">
        <v>245</v>
      </c>
    </row>
    <row r="2902" spans="1:17" x14ac:dyDescent="0.25">
      <c r="A2902" t="s">
        <v>424</v>
      </c>
      <c r="B2902" t="s">
        <v>103</v>
      </c>
      <c r="C2902" s="4">
        <f t="shared" ref="C2902:M2902" si="1549">(0.0572052587068733/(0.0900940072589024+0.00396421732885982+0.0572052587068733+0.752028927432513)) * 0.00346840879913736%</f>
        <v>2.1965337060246945E-6</v>
      </c>
      <c r="D2902" s="4">
        <f t="shared" si="1549"/>
        <v>2.1965337060246945E-6</v>
      </c>
      <c r="E2902" s="4">
        <f t="shared" si="1549"/>
        <v>2.1965337060246945E-6</v>
      </c>
      <c r="F2902" s="4">
        <f t="shared" si="1549"/>
        <v>2.1965337060246945E-6</v>
      </c>
      <c r="G2902" s="4">
        <f t="shared" si="1549"/>
        <v>2.1965337060246945E-6</v>
      </c>
      <c r="H2902" s="4">
        <f t="shared" si="1549"/>
        <v>2.1965337060246945E-6</v>
      </c>
      <c r="I2902" s="4">
        <f t="shared" si="1549"/>
        <v>2.1965337060246945E-6</v>
      </c>
      <c r="J2902" s="4">
        <f t="shared" si="1549"/>
        <v>2.1965337060246945E-6</v>
      </c>
      <c r="K2902" s="4">
        <f t="shared" si="1549"/>
        <v>2.1965337060246945E-6</v>
      </c>
      <c r="L2902" s="4">
        <f t="shared" si="1549"/>
        <v>2.1965337060246945E-6</v>
      </c>
      <c r="M2902" s="4">
        <f t="shared" si="1549"/>
        <v>2.1965337060246945E-6</v>
      </c>
      <c r="N2902" t="s">
        <v>256</v>
      </c>
      <c r="O2902" t="s">
        <v>280</v>
      </c>
      <c r="P2902" t="s">
        <v>424</v>
      </c>
      <c r="Q2902" s="4" t="s">
        <v>245</v>
      </c>
    </row>
    <row r="2903" spans="1:17" x14ac:dyDescent="0.25">
      <c r="A2903" t="s">
        <v>424</v>
      </c>
      <c r="B2903" t="s">
        <v>103</v>
      </c>
      <c r="C2903" s="4">
        <f t="shared" ref="C2903:M2903" si="1550">(0.752028927432513/(0.0900940072589024+0.00396421732885982+0.0572052587068733+0.752028927432513)) * 0.00346840879913736%</f>
        <v>2.8875962181648887E-5</v>
      </c>
      <c r="D2903" s="4">
        <f t="shared" si="1550"/>
        <v>2.8875962181648887E-5</v>
      </c>
      <c r="E2903" s="4">
        <f t="shared" si="1550"/>
        <v>2.8875962181648887E-5</v>
      </c>
      <c r="F2903" s="4">
        <f t="shared" si="1550"/>
        <v>2.8875962181648887E-5</v>
      </c>
      <c r="G2903" s="4">
        <f t="shared" si="1550"/>
        <v>2.8875962181648887E-5</v>
      </c>
      <c r="H2903" s="4">
        <f t="shared" si="1550"/>
        <v>2.8875962181648887E-5</v>
      </c>
      <c r="I2903" s="4">
        <f t="shared" si="1550"/>
        <v>2.8875962181648887E-5</v>
      </c>
      <c r="J2903" s="4">
        <f t="shared" si="1550"/>
        <v>2.8875962181648887E-5</v>
      </c>
      <c r="K2903" s="4">
        <f t="shared" si="1550"/>
        <v>2.8875962181648887E-5</v>
      </c>
      <c r="L2903" s="4">
        <f t="shared" si="1550"/>
        <v>2.8875962181648887E-5</v>
      </c>
      <c r="M2903" s="4">
        <f t="shared" si="1550"/>
        <v>2.8875962181648887E-5</v>
      </c>
      <c r="N2903" t="s">
        <v>256</v>
      </c>
      <c r="O2903" t="s">
        <v>354</v>
      </c>
      <c r="P2903" t="s">
        <v>424</v>
      </c>
      <c r="Q2903" s="4" t="s">
        <v>245</v>
      </c>
    </row>
    <row r="2904" spans="1:17" x14ac:dyDescent="0.25">
      <c r="A2904" t="s">
        <v>424</v>
      </c>
      <c r="B2904" t="s">
        <v>200</v>
      </c>
      <c r="C2904" s="4">
        <f t="shared" ref="C2904:M2904" si="1551">(0.0900940072589024/(0.0900940072589024+0.00396421732885982+0.0572052587068733+0.752028927432513)) * 0.00968747273563544%</f>
        <v>9.6622447902797043E-6</v>
      </c>
      <c r="D2904" s="4">
        <f t="shared" si="1551"/>
        <v>9.6622447902797043E-6</v>
      </c>
      <c r="E2904" s="4">
        <f t="shared" si="1551"/>
        <v>9.6622447902797043E-6</v>
      </c>
      <c r="F2904" s="4">
        <f t="shared" si="1551"/>
        <v>9.6622447902797043E-6</v>
      </c>
      <c r="G2904" s="4">
        <f t="shared" si="1551"/>
        <v>9.6622447902797043E-6</v>
      </c>
      <c r="H2904" s="4">
        <f t="shared" si="1551"/>
        <v>9.6622447902797043E-6</v>
      </c>
      <c r="I2904" s="4">
        <f t="shared" si="1551"/>
        <v>9.6622447902797043E-6</v>
      </c>
      <c r="J2904" s="4">
        <f t="shared" si="1551"/>
        <v>9.6622447902797043E-6</v>
      </c>
      <c r="K2904" s="4">
        <f t="shared" si="1551"/>
        <v>9.6622447902797043E-6</v>
      </c>
      <c r="L2904" s="4">
        <f t="shared" si="1551"/>
        <v>9.6622447902797043E-6</v>
      </c>
      <c r="M2904" s="4">
        <f t="shared" si="1551"/>
        <v>9.6622447902797043E-6</v>
      </c>
      <c r="N2904" t="s">
        <v>242</v>
      </c>
      <c r="O2904" t="s">
        <v>358</v>
      </c>
      <c r="P2904" t="s">
        <v>424</v>
      </c>
      <c r="Q2904" s="4" t="s">
        <v>245</v>
      </c>
    </row>
    <row r="2905" spans="1:17" x14ac:dyDescent="0.25">
      <c r="A2905" t="s">
        <v>424</v>
      </c>
      <c r="B2905" t="s">
        <v>200</v>
      </c>
      <c r="C2905" s="4">
        <f t="shared" ref="C2905:M2905" si="1552">(0.00396421732885982/(0.0900940072589024+0.00396421732885982+0.0572052587068733+0.752028927432513))  * 0.00968747273563544%</f>
        <v>4.2514745873430436E-7</v>
      </c>
      <c r="D2905" s="4">
        <f t="shared" si="1552"/>
        <v>4.2514745873430436E-7</v>
      </c>
      <c r="E2905" s="4">
        <f t="shared" si="1552"/>
        <v>4.2514745873430436E-7</v>
      </c>
      <c r="F2905" s="4">
        <f t="shared" si="1552"/>
        <v>4.2514745873430436E-7</v>
      </c>
      <c r="G2905" s="4">
        <f t="shared" si="1552"/>
        <v>4.2514745873430436E-7</v>
      </c>
      <c r="H2905" s="4">
        <f t="shared" si="1552"/>
        <v>4.2514745873430436E-7</v>
      </c>
      <c r="I2905" s="4">
        <f t="shared" si="1552"/>
        <v>4.2514745873430436E-7</v>
      </c>
      <c r="J2905" s="4">
        <f t="shared" si="1552"/>
        <v>4.2514745873430436E-7</v>
      </c>
      <c r="K2905" s="4">
        <f t="shared" si="1552"/>
        <v>4.2514745873430436E-7</v>
      </c>
      <c r="L2905" s="4">
        <f t="shared" si="1552"/>
        <v>4.2514745873430436E-7</v>
      </c>
      <c r="M2905" s="4">
        <f t="shared" si="1552"/>
        <v>4.2514745873430436E-7</v>
      </c>
      <c r="N2905" t="s">
        <v>256</v>
      </c>
      <c r="O2905" t="s">
        <v>353</v>
      </c>
      <c r="P2905" t="s">
        <v>424</v>
      </c>
      <c r="Q2905" s="4" t="s">
        <v>245</v>
      </c>
    </row>
    <row r="2906" spans="1:17" x14ac:dyDescent="0.25">
      <c r="A2906" t="s">
        <v>424</v>
      </c>
      <c r="B2906" t="s">
        <v>200</v>
      </c>
      <c r="C2906" s="4">
        <f t="shared" ref="C2906:M2906" si="1553">(0.0572052587068733/(0.0900940072589024+0.00396421732885982+0.0572052587068733+0.752028927432513)) * 0.00968747273563544%</f>
        <v>6.1350497078979961E-6</v>
      </c>
      <c r="D2906" s="4">
        <f t="shared" si="1553"/>
        <v>6.1350497078979961E-6</v>
      </c>
      <c r="E2906" s="4">
        <f t="shared" si="1553"/>
        <v>6.1350497078979961E-6</v>
      </c>
      <c r="F2906" s="4">
        <f t="shared" si="1553"/>
        <v>6.1350497078979961E-6</v>
      </c>
      <c r="G2906" s="4">
        <f t="shared" si="1553"/>
        <v>6.1350497078979961E-6</v>
      </c>
      <c r="H2906" s="4">
        <f t="shared" si="1553"/>
        <v>6.1350497078979961E-6</v>
      </c>
      <c r="I2906" s="4">
        <f t="shared" si="1553"/>
        <v>6.1350497078979961E-6</v>
      </c>
      <c r="J2906" s="4">
        <f t="shared" si="1553"/>
        <v>6.1350497078979961E-6</v>
      </c>
      <c r="K2906" s="4">
        <f t="shared" si="1553"/>
        <v>6.1350497078979961E-6</v>
      </c>
      <c r="L2906" s="4">
        <f t="shared" si="1553"/>
        <v>6.1350497078979961E-6</v>
      </c>
      <c r="M2906" s="4">
        <f t="shared" si="1553"/>
        <v>6.1350497078979961E-6</v>
      </c>
      <c r="N2906" t="s">
        <v>256</v>
      </c>
      <c r="O2906" t="s">
        <v>280</v>
      </c>
      <c r="P2906" t="s">
        <v>424</v>
      </c>
      <c r="Q2906" s="4" t="s">
        <v>245</v>
      </c>
    </row>
    <row r="2907" spans="1:17" x14ac:dyDescent="0.25">
      <c r="A2907" t="s">
        <v>424</v>
      </c>
      <c r="B2907" t="s">
        <v>200</v>
      </c>
      <c r="C2907" s="4">
        <f t="shared" ref="C2907:M2907" si="1554">(0.752028927432513/(0.0900940072589024+0.00396421732885982+0.0572052587068733+0.752028927432513)) * 0.00968747273563544%</f>
        <v>8.0652285399442414E-5</v>
      </c>
      <c r="D2907" s="4">
        <f t="shared" si="1554"/>
        <v>8.0652285399442414E-5</v>
      </c>
      <c r="E2907" s="4">
        <f t="shared" si="1554"/>
        <v>8.0652285399442414E-5</v>
      </c>
      <c r="F2907" s="4">
        <f t="shared" si="1554"/>
        <v>8.0652285399442414E-5</v>
      </c>
      <c r="G2907" s="4">
        <f t="shared" si="1554"/>
        <v>8.0652285399442414E-5</v>
      </c>
      <c r="H2907" s="4">
        <f t="shared" si="1554"/>
        <v>8.0652285399442414E-5</v>
      </c>
      <c r="I2907" s="4">
        <f t="shared" si="1554"/>
        <v>8.0652285399442414E-5</v>
      </c>
      <c r="J2907" s="4">
        <f t="shared" si="1554"/>
        <v>8.0652285399442414E-5</v>
      </c>
      <c r="K2907" s="4">
        <f t="shared" si="1554"/>
        <v>8.0652285399442414E-5</v>
      </c>
      <c r="L2907" s="4">
        <f t="shared" si="1554"/>
        <v>8.0652285399442414E-5</v>
      </c>
      <c r="M2907" s="4">
        <f t="shared" si="1554"/>
        <v>8.0652285399442414E-5</v>
      </c>
      <c r="N2907" t="s">
        <v>256</v>
      </c>
      <c r="O2907" t="s">
        <v>354</v>
      </c>
      <c r="P2907" t="s">
        <v>424</v>
      </c>
      <c r="Q2907" s="4" t="s">
        <v>245</v>
      </c>
    </row>
    <row r="2908" spans="1:17" x14ac:dyDescent="0.25">
      <c r="A2908" t="s">
        <v>424</v>
      </c>
      <c r="B2908" t="s">
        <v>150</v>
      </c>
      <c r="C2908" s="4">
        <f t="shared" ref="C2908:M2908" si="1555">(0.0900940072589024/(0.0900940072589024+0.00396421732885982+0.0572052587068733+0.752028927432513)) * 25.0009709489719%</f>
        <v>2.4935863862102805E-2</v>
      </c>
      <c r="D2908" s="4">
        <f t="shared" si="1555"/>
        <v>2.4935863862102805E-2</v>
      </c>
      <c r="E2908" s="4">
        <f t="shared" si="1555"/>
        <v>2.4935863862102805E-2</v>
      </c>
      <c r="F2908" s="4">
        <f t="shared" si="1555"/>
        <v>2.4935863862102805E-2</v>
      </c>
      <c r="G2908" s="4">
        <f t="shared" si="1555"/>
        <v>2.4935863862102805E-2</v>
      </c>
      <c r="H2908" s="4">
        <f t="shared" si="1555"/>
        <v>2.4935863862102805E-2</v>
      </c>
      <c r="I2908" s="4">
        <f t="shared" si="1555"/>
        <v>2.4935863862102805E-2</v>
      </c>
      <c r="J2908" s="4">
        <f t="shared" si="1555"/>
        <v>2.4935863862102805E-2</v>
      </c>
      <c r="K2908" s="4">
        <f t="shared" si="1555"/>
        <v>2.4935863862102805E-2</v>
      </c>
      <c r="L2908" s="4">
        <f t="shared" si="1555"/>
        <v>2.4935863862102805E-2</v>
      </c>
      <c r="M2908" s="4">
        <f t="shared" si="1555"/>
        <v>2.4935863862102805E-2</v>
      </c>
      <c r="N2908" t="s">
        <v>242</v>
      </c>
      <c r="O2908" t="s">
        <v>358</v>
      </c>
      <c r="P2908" t="s">
        <v>424</v>
      </c>
      <c r="Q2908" s="4" t="s">
        <v>245</v>
      </c>
    </row>
    <row r="2909" spans="1:17" x14ac:dyDescent="0.25">
      <c r="A2909" t="s">
        <v>424</v>
      </c>
      <c r="B2909" t="s">
        <v>150</v>
      </c>
      <c r="C2909" s="4">
        <f t="shared" ref="C2909:M2909" si="1556">(0.00396421732885982/(0.0900940072589024+0.00396421732885982+0.0572052587068733+0.752028927432513))  * 25.0009709489719%</f>
        <v>1.0972004314134844E-3</v>
      </c>
      <c r="D2909" s="4">
        <f t="shared" si="1556"/>
        <v>1.0972004314134844E-3</v>
      </c>
      <c r="E2909" s="4">
        <f t="shared" si="1556"/>
        <v>1.0972004314134844E-3</v>
      </c>
      <c r="F2909" s="4">
        <f t="shared" si="1556"/>
        <v>1.0972004314134844E-3</v>
      </c>
      <c r="G2909" s="4">
        <f t="shared" si="1556"/>
        <v>1.0972004314134844E-3</v>
      </c>
      <c r="H2909" s="4">
        <f t="shared" si="1556"/>
        <v>1.0972004314134844E-3</v>
      </c>
      <c r="I2909" s="4">
        <f t="shared" si="1556"/>
        <v>1.0972004314134844E-3</v>
      </c>
      <c r="J2909" s="4">
        <f t="shared" si="1556"/>
        <v>1.0972004314134844E-3</v>
      </c>
      <c r="K2909" s="4">
        <f t="shared" si="1556"/>
        <v>1.0972004314134844E-3</v>
      </c>
      <c r="L2909" s="4">
        <f t="shared" si="1556"/>
        <v>1.0972004314134844E-3</v>
      </c>
      <c r="M2909" s="4">
        <f t="shared" si="1556"/>
        <v>1.0972004314134844E-3</v>
      </c>
      <c r="N2909" t="s">
        <v>256</v>
      </c>
      <c r="O2909" t="s">
        <v>353</v>
      </c>
      <c r="P2909" t="s">
        <v>424</v>
      </c>
      <c r="Q2909" s="4" t="s">
        <v>245</v>
      </c>
    </row>
    <row r="2910" spans="1:17" x14ac:dyDescent="0.25">
      <c r="A2910" t="s">
        <v>424</v>
      </c>
      <c r="B2910" t="s">
        <v>150</v>
      </c>
      <c r="C2910" s="4">
        <f t="shared" ref="C2910:M2910" si="1557">(0.0572052587068733/(0.0900940072589024+0.00396421732885982+0.0572052587068733+0.752028927432513)) * 25.0009709489719%</f>
        <v>1.583304580083501E-2</v>
      </c>
      <c r="D2910" s="4">
        <f t="shared" si="1557"/>
        <v>1.583304580083501E-2</v>
      </c>
      <c r="E2910" s="4">
        <f t="shared" si="1557"/>
        <v>1.583304580083501E-2</v>
      </c>
      <c r="F2910" s="4">
        <f t="shared" si="1557"/>
        <v>1.583304580083501E-2</v>
      </c>
      <c r="G2910" s="4">
        <f t="shared" si="1557"/>
        <v>1.583304580083501E-2</v>
      </c>
      <c r="H2910" s="4">
        <f t="shared" si="1557"/>
        <v>1.583304580083501E-2</v>
      </c>
      <c r="I2910" s="4">
        <f t="shared" si="1557"/>
        <v>1.583304580083501E-2</v>
      </c>
      <c r="J2910" s="4">
        <f t="shared" si="1557"/>
        <v>1.583304580083501E-2</v>
      </c>
      <c r="K2910" s="4">
        <f t="shared" si="1557"/>
        <v>1.583304580083501E-2</v>
      </c>
      <c r="L2910" s="4">
        <f t="shared" si="1557"/>
        <v>1.583304580083501E-2</v>
      </c>
      <c r="M2910" s="4">
        <f t="shared" si="1557"/>
        <v>1.583304580083501E-2</v>
      </c>
      <c r="N2910" t="s">
        <v>256</v>
      </c>
      <c r="O2910" t="s">
        <v>280</v>
      </c>
      <c r="P2910" t="s">
        <v>424</v>
      </c>
      <c r="Q2910" s="4" t="s">
        <v>245</v>
      </c>
    </row>
    <row r="2911" spans="1:17" x14ac:dyDescent="0.25">
      <c r="A2911" t="s">
        <v>424</v>
      </c>
      <c r="B2911" t="s">
        <v>150</v>
      </c>
      <c r="C2911" s="4">
        <f t="shared" ref="C2911:M2911" si="1558">(0.752028927432513/(0.0900940072589024+0.00396421732885982+0.0572052587068733+0.752028927432513)) * 25.0009709489719%</f>
        <v>0.20814359939536772</v>
      </c>
      <c r="D2911" s="4">
        <f t="shared" si="1558"/>
        <v>0.20814359939536772</v>
      </c>
      <c r="E2911" s="4">
        <f t="shared" si="1558"/>
        <v>0.20814359939536772</v>
      </c>
      <c r="F2911" s="4">
        <f t="shared" si="1558"/>
        <v>0.20814359939536772</v>
      </c>
      <c r="G2911" s="4">
        <f t="shared" si="1558"/>
        <v>0.20814359939536772</v>
      </c>
      <c r="H2911" s="4">
        <f t="shared" si="1558"/>
        <v>0.20814359939536772</v>
      </c>
      <c r="I2911" s="4">
        <f t="shared" si="1558"/>
        <v>0.20814359939536772</v>
      </c>
      <c r="J2911" s="4">
        <f t="shared" si="1558"/>
        <v>0.20814359939536772</v>
      </c>
      <c r="K2911" s="4">
        <f t="shared" si="1558"/>
        <v>0.20814359939536772</v>
      </c>
      <c r="L2911" s="4">
        <f t="shared" si="1558"/>
        <v>0.20814359939536772</v>
      </c>
      <c r="M2911" s="4">
        <f t="shared" si="1558"/>
        <v>0.20814359939536772</v>
      </c>
      <c r="N2911" t="s">
        <v>256</v>
      </c>
      <c r="O2911" t="s">
        <v>354</v>
      </c>
      <c r="P2911" t="s">
        <v>424</v>
      </c>
      <c r="Q2911" s="4" t="s">
        <v>245</v>
      </c>
    </row>
    <row r="2912" spans="1:17" x14ac:dyDescent="0.25">
      <c r="A2912" t="s">
        <v>424</v>
      </c>
      <c r="B2912" t="s">
        <v>173</v>
      </c>
      <c r="C2912" s="4">
        <f t="shared" ref="C2912:M2912" si="1559">(0.0900940072589024/(0.0900940072589024+0.00396421732885982+0.0572052587068733+0.752028927432513)) * 0.265465375034948%</f>
        <v>2.6477405479508954E-4</v>
      </c>
      <c r="D2912" s="4">
        <f t="shared" si="1559"/>
        <v>2.6477405479508954E-4</v>
      </c>
      <c r="E2912" s="4">
        <f t="shared" si="1559"/>
        <v>2.6477405479508954E-4</v>
      </c>
      <c r="F2912" s="4">
        <f t="shared" si="1559"/>
        <v>2.6477405479508954E-4</v>
      </c>
      <c r="G2912" s="4">
        <f t="shared" si="1559"/>
        <v>2.6477405479508954E-4</v>
      </c>
      <c r="H2912" s="4">
        <f t="shared" si="1559"/>
        <v>2.6477405479508954E-4</v>
      </c>
      <c r="I2912" s="4">
        <f t="shared" si="1559"/>
        <v>2.6477405479508954E-4</v>
      </c>
      <c r="J2912" s="4">
        <f t="shared" si="1559"/>
        <v>2.6477405479508954E-4</v>
      </c>
      <c r="K2912" s="4">
        <f t="shared" si="1559"/>
        <v>2.6477405479508954E-4</v>
      </c>
      <c r="L2912" s="4">
        <f t="shared" si="1559"/>
        <v>2.6477405479508954E-4</v>
      </c>
      <c r="M2912" s="4">
        <f t="shared" si="1559"/>
        <v>2.6477405479508954E-4</v>
      </c>
      <c r="N2912" t="s">
        <v>242</v>
      </c>
      <c r="O2912" t="s">
        <v>358</v>
      </c>
      <c r="P2912" t="s">
        <v>424</v>
      </c>
      <c r="Q2912" s="4" t="s">
        <v>245</v>
      </c>
    </row>
    <row r="2913" spans="1:17" x14ac:dyDescent="0.25">
      <c r="A2913" t="s">
        <v>424</v>
      </c>
      <c r="B2913" t="s">
        <v>173</v>
      </c>
      <c r="C2913" s="4">
        <f t="shared" ref="C2913:M2913" si="1560">(0.00396421732885982/(0.0900940072589024+0.00396421732885982+0.0572052587068733+0.752028927432513))  * 0.265465375034948%</f>
        <v>1.1650296486811646E-5</v>
      </c>
      <c r="D2913" s="4">
        <f t="shared" si="1560"/>
        <v>1.1650296486811646E-5</v>
      </c>
      <c r="E2913" s="4">
        <f t="shared" si="1560"/>
        <v>1.1650296486811646E-5</v>
      </c>
      <c r="F2913" s="4">
        <f t="shared" si="1560"/>
        <v>1.1650296486811646E-5</v>
      </c>
      <c r="G2913" s="4">
        <f t="shared" si="1560"/>
        <v>1.1650296486811646E-5</v>
      </c>
      <c r="H2913" s="4">
        <f t="shared" si="1560"/>
        <v>1.1650296486811646E-5</v>
      </c>
      <c r="I2913" s="4">
        <f t="shared" si="1560"/>
        <v>1.1650296486811646E-5</v>
      </c>
      <c r="J2913" s="4">
        <f t="shared" si="1560"/>
        <v>1.1650296486811646E-5</v>
      </c>
      <c r="K2913" s="4">
        <f t="shared" si="1560"/>
        <v>1.1650296486811646E-5</v>
      </c>
      <c r="L2913" s="4">
        <f t="shared" si="1560"/>
        <v>1.1650296486811646E-5</v>
      </c>
      <c r="M2913" s="4">
        <f t="shared" si="1560"/>
        <v>1.1650296486811646E-5</v>
      </c>
      <c r="N2913" t="s">
        <v>256</v>
      </c>
      <c r="O2913" t="s">
        <v>353</v>
      </c>
      <c r="P2913" t="s">
        <v>424</v>
      </c>
      <c r="Q2913" s="4" t="s">
        <v>245</v>
      </c>
    </row>
    <row r="2914" spans="1:17" x14ac:dyDescent="0.25">
      <c r="A2914" t="s">
        <v>424</v>
      </c>
      <c r="B2914" t="s">
        <v>173</v>
      </c>
      <c r="C2914" s="4">
        <f t="shared" ref="C2914:M2914" si="1561">(0.0572052587068733/(0.0900940072589024+0.00396421732885982+0.0572052587068733+0.752028927432513)) * 0.265465375034948%</f>
        <v>1.6811848827963285E-4</v>
      </c>
      <c r="D2914" s="4">
        <f t="shared" si="1561"/>
        <v>1.6811848827963285E-4</v>
      </c>
      <c r="E2914" s="4">
        <f t="shared" si="1561"/>
        <v>1.6811848827963285E-4</v>
      </c>
      <c r="F2914" s="4">
        <f t="shared" si="1561"/>
        <v>1.6811848827963285E-4</v>
      </c>
      <c r="G2914" s="4">
        <f t="shared" si="1561"/>
        <v>1.6811848827963285E-4</v>
      </c>
      <c r="H2914" s="4">
        <f t="shared" si="1561"/>
        <v>1.6811848827963285E-4</v>
      </c>
      <c r="I2914" s="4">
        <f t="shared" si="1561"/>
        <v>1.6811848827963285E-4</v>
      </c>
      <c r="J2914" s="4">
        <f t="shared" si="1561"/>
        <v>1.6811848827963285E-4</v>
      </c>
      <c r="K2914" s="4">
        <f t="shared" si="1561"/>
        <v>1.6811848827963285E-4</v>
      </c>
      <c r="L2914" s="4">
        <f t="shared" si="1561"/>
        <v>1.6811848827963285E-4</v>
      </c>
      <c r="M2914" s="4">
        <f t="shared" si="1561"/>
        <v>1.6811848827963285E-4</v>
      </c>
      <c r="N2914" t="s">
        <v>256</v>
      </c>
      <c r="O2914" t="s">
        <v>280</v>
      </c>
      <c r="P2914" t="s">
        <v>424</v>
      </c>
      <c r="Q2914" s="4" t="s">
        <v>245</v>
      </c>
    </row>
    <row r="2915" spans="1:17" x14ac:dyDescent="0.25">
      <c r="A2915" t="s">
        <v>424</v>
      </c>
      <c r="B2915" t="s">
        <v>173</v>
      </c>
      <c r="C2915" s="4">
        <f t="shared" ref="C2915:M2915" si="1562">(0.752028927432513/(0.0900940072589024+0.00396421732885982+0.0572052587068733+0.752028927432513)) * 0.265465375034948%</f>
        <v>2.2101109107879459E-3</v>
      </c>
      <c r="D2915" s="4">
        <f t="shared" si="1562"/>
        <v>2.2101109107879459E-3</v>
      </c>
      <c r="E2915" s="4">
        <f t="shared" si="1562"/>
        <v>2.2101109107879459E-3</v>
      </c>
      <c r="F2915" s="4">
        <f t="shared" si="1562"/>
        <v>2.2101109107879459E-3</v>
      </c>
      <c r="G2915" s="4">
        <f t="shared" si="1562"/>
        <v>2.2101109107879459E-3</v>
      </c>
      <c r="H2915" s="4">
        <f t="shared" si="1562"/>
        <v>2.2101109107879459E-3</v>
      </c>
      <c r="I2915" s="4">
        <f t="shared" si="1562"/>
        <v>2.2101109107879459E-3</v>
      </c>
      <c r="J2915" s="4">
        <f t="shared" si="1562"/>
        <v>2.2101109107879459E-3</v>
      </c>
      <c r="K2915" s="4">
        <f t="shared" si="1562"/>
        <v>2.2101109107879459E-3</v>
      </c>
      <c r="L2915" s="4">
        <f t="shared" si="1562"/>
        <v>2.2101109107879459E-3</v>
      </c>
      <c r="M2915" s="4">
        <f t="shared" si="1562"/>
        <v>2.2101109107879459E-3</v>
      </c>
      <c r="N2915" t="s">
        <v>256</v>
      </c>
      <c r="O2915" t="s">
        <v>354</v>
      </c>
      <c r="P2915" t="s">
        <v>424</v>
      </c>
      <c r="Q2915" s="4" t="s">
        <v>245</v>
      </c>
    </row>
    <row r="2916" spans="1:17" x14ac:dyDescent="0.25">
      <c r="A2916" t="s">
        <v>424</v>
      </c>
      <c r="B2916" t="s">
        <v>161</v>
      </c>
      <c r="C2916" s="4">
        <f t="shared" ref="C2916:M2916" si="1563">(0.0900940072589024/(0.0900940072589024+0.00396421732885982+0.0572052587068733+0.752028927432513)) * 0.766129377901031%</f>
        <v>7.6413423730982042E-4</v>
      </c>
      <c r="D2916" s="4">
        <f t="shared" si="1563"/>
        <v>7.6413423730982042E-4</v>
      </c>
      <c r="E2916" s="4">
        <f t="shared" si="1563"/>
        <v>7.6413423730982042E-4</v>
      </c>
      <c r="F2916" s="4">
        <f t="shared" si="1563"/>
        <v>7.6413423730982042E-4</v>
      </c>
      <c r="G2916" s="4">
        <f t="shared" si="1563"/>
        <v>7.6413423730982042E-4</v>
      </c>
      <c r="H2916" s="4">
        <f t="shared" si="1563"/>
        <v>7.6413423730982042E-4</v>
      </c>
      <c r="I2916" s="4">
        <f t="shared" si="1563"/>
        <v>7.6413423730982042E-4</v>
      </c>
      <c r="J2916" s="4">
        <f t="shared" si="1563"/>
        <v>7.6413423730982042E-4</v>
      </c>
      <c r="K2916" s="4">
        <f t="shared" si="1563"/>
        <v>7.6413423730982042E-4</v>
      </c>
      <c r="L2916" s="4">
        <f t="shared" si="1563"/>
        <v>7.6413423730982042E-4</v>
      </c>
      <c r="M2916" s="4">
        <f t="shared" si="1563"/>
        <v>7.6413423730982042E-4</v>
      </c>
      <c r="N2916" t="s">
        <v>242</v>
      </c>
      <c r="O2916" t="s">
        <v>358</v>
      </c>
      <c r="P2916" t="s">
        <v>424</v>
      </c>
      <c r="Q2916" s="4" t="s">
        <v>245</v>
      </c>
    </row>
    <row r="2917" spans="1:17" x14ac:dyDescent="0.25">
      <c r="A2917" t="s">
        <v>424</v>
      </c>
      <c r="B2917" t="s">
        <v>161</v>
      </c>
      <c r="C2917" s="4">
        <f t="shared" ref="C2917:M2917" si="1564">(0.00396421732885982/(0.0900940072589024+0.00396421732885982+0.0572052587068733+0.752028927432513))  * 0.766129377901031%</f>
        <v>3.3622593525157588E-5</v>
      </c>
      <c r="D2917" s="4">
        <f t="shared" si="1564"/>
        <v>3.3622593525157588E-5</v>
      </c>
      <c r="E2917" s="4">
        <f t="shared" si="1564"/>
        <v>3.3622593525157588E-5</v>
      </c>
      <c r="F2917" s="4">
        <f t="shared" si="1564"/>
        <v>3.3622593525157588E-5</v>
      </c>
      <c r="G2917" s="4">
        <f t="shared" si="1564"/>
        <v>3.3622593525157588E-5</v>
      </c>
      <c r="H2917" s="4">
        <f t="shared" si="1564"/>
        <v>3.3622593525157588E-5</v>
      </c>
      <c r="I2917" s="4">
        <f t="shared" si="1564"/>
        <v>3.3622593525157588E-5</v>
      </c>
      <c r="J2917" s="4">
        <f t="shared" si="1564"/>
        <v>3.3622593525157588E-5</v>
      </c>
      <c r="K2917" s="4">
        <f t="shared" si="1564"/>
        <v>3.3622593525157588E-5</v>
      </c>
      <c r="L2917" s="4">
        <f t="shared" si="1564"/>
        <v>3.3622593525157588E-5</v>
      </c>
      <c r="M2917" s="4">
        <f t="shared" si="1564"/>
        <v>3.3622593525157588E-5</v>
      </c>
      <c r="N2917" t="s">
        <v>256</v>
      </c>
      <c r="O2917" t="s">
        <v>353</v>
      </c>
      <c r="P2917" t="s">
        <v>424</v>
      </c>
      <c r="Q2917" s="4" t="s">
        <v>245</v>
      </c>
    </row>
    <row r="2918" spans="1:17" x14ac:dyDescent="0.25">
      <c r="A2918" t="s">
        <v>424</v>
      </c>
      <c r="B2918" t="s">
        <v>161</v>
      </c>
      <c r="C2918" s="4">
        <f t="shared" ref="C2918:M2918" si="1565">(0.0572052587068733/(0.0900940072589024+0.00396421732885982+0.0572052587068733+0.752028927432513)) * 0.766129377901031%</f>
        <v>4.8518761749015502E-4</v>
      </c>
      <c r="D2918" s="4">
        <f t="shared" si="1565"/>
        <v>4.8518761749015502E-4</v>
      </c>
      <c r="E2918" s="4">
        <f t="shared" si="1565"/>
        <v>4.8518761749015502E-4</v>
      </c>
      <c r="F2918" s="4">
        <f t="shared" si="1565"/>
        <v>4.8518761749015502E-4</v>
      </c>
      <c r="G2918" s="4">
        <f t="shared" si="1565"/>
        <v>4.8518761749015502E-4</v>
      </c>
      <c r="H2918" s="4">
        <f t="shared" si="1565"/>
        <v>4.8518761749015502E-4</v>
      </c>
      <c r="I2918" s="4">
        <f t="shared" si="1565"/>
        <v>4.8518761749015502E-4</v>
      </c>
      <c r="J2918" s="4">
        <f t="shared" si="1565"/>
        <v>4.8518761749015502E-4</v>
      </c>
      <c r="K2918" s="4">
        <f t="shared" si="1565"/>
        <v>4.8518761749015502E-4</v>
      </c>
      <c r="L2918" s="4">
        <f t="shared" si="1565"/>
        <v>4.8518761749015502E-4</v>
      </c>
      <c r="M2918" s="4">
        <f t="shared" si="1565"/>
        <v>4.8518761749015502E-4</v>
      </c>
      <c r="N2918" t="s">
        <v>256</v>
      </c>
      <c r="O2918" t="s">
        <v>280</v>
      </c>
      <c r="P2918" t="s">
        <v>424</v>
      </c>
      <c r="Q2918" s="4" t="s">
        <v>245</v>
      </c>
    </row>
    <row r="2919" spans="1:17" x14ac:dyDescent="0.25">
      <c r="A2919" t="s">
        <v>424</v>
      </c>
      <c r="B2919" t="s">
        <v>161</v>
      </c>
      <c r="C2919" s="4">
        <f t="shared" ref="C2919:M2919" si="1566">(0.752028927432513/(0.0900940072589024+0.00396421732885982+0.0572052587068733+0.752028927432513)) * 0.766129377901031%</f>
        <v>6.3783493306851773E-3</v>
      </c>
      <c r="D2919" s="4">
        <f t="shared" si="1566"/>
        <v>6.3783493306851773E-3</v>
      </c>
      <c r="E2919" s="4">
        <f t="shared" si="1566"/>
        <v>6.3783493306851773E-3</v>
      </c>
      <c r="F2919" s="4">
        <f t="shared" si="1566"/>
        <v>6.3783493306851773E-3</v>
      </c>
      <c r="G2919" s="4">
        <f t="shared" si="1566"/>
        <v>6.3783493306851773E-3</v>
      </c>
      <c r="H2919" s="4">
        <f t="shared" si="1566"/>
        <v>6.3783493306851773E-3</v>
      </c>
      <c r="I2919" s="4">
        <f t="shared" si="1566"/>
        <v>6.3783493306851773E-3</v>
      </c>
      <c r="J2919" s="4">
        <f t="shared" si="1566"/>
        <v>6.3783493306851773E-3</v>
      </c>
      <c r="K2919" s="4">
        <f t="shared" si="1566"/>
        <v>6.3783493306851773E-3</v>
      </c>
      <c r="L2919" s="4">
        <f t="shared" si="1566"/>
        <v>6.3783493306851773E-3</v>
      </c>
      <c r="M2919" s="4">
        <f t="shared" si="1566"/>
        <v>6.3783493306851773E-3</v>
      </c>
      <c r="N2919" t="s">
        <v>256</v>
      </c>
      <c r="O2919" t="s">
        <v>354</v>
      </c>
      <c r="P2919" t="s">
        <v>424</v>
      </c>
      <c r="Q2919" s="4" t="s">
        <v>245</v>
      </c>
    </row>
    <row r="2920" spans="1:17" x14ac:dyDescent="0.25">
      <c r="A2920" t="s">
        <v>424</v>
      </c>
      <c r="B2920" t="s">
        <v>175</v>
      </c>
      <c r="C2920" s="4">
        <f t="shared" ref="C2920:M2920" si="1567">(0.0900940072589024/(0.0900940072589024+0.00396421732885982+0.0572052587068733+0.752028927432513)) * 0.0217131491179174%</f>
        <v>2.165660411857688E-5</v>
      </c>
      <c r="D2920" s="4">
        <f t="shared" si="1567"/>
        <v>2.165660411857688E-5</v>
      </c>
      <c r="E2920" s="4">
        <f t="shared" si="1567"/>
        <v>2.165660411857688E-5</v>
      </c>
      <c r="F2920" s="4">
        <f t="shared" si="1567"/>
        <v>2.165660411857688E-5</v>
      </c>
      <c r="G2920" s="4">
        <f t="shared" si="1567"/>
        <v>2.165660411857688E-5</v>
      </c>
      <c r="H2920" s="4">
        <f t="shared" si="1567"/>
        <v>2.165660411857688E-5</v>
      </c>
      <c r="I2920" s="4">
        <f t="shared" si="1567"/>
        <v>2.165660411857688E-5</v>
      </c>
      <c r="J2920" s="4">
        <f t="shared" si="1567"/>
        <v>2.165660411857688E-5</v>
      </c>
      <c r="K2920" s="4">
        <f t="shared" si="1567"/>
        <v>2.165660411857688E-5</v>
      </c>
      <c r="L2920" s="4">
        <f t="shared" si="1567"/>
        <v>2.165660411857688E-5</v>
      </c>
      <c r="M2920" s="4">
        <f t="shared" si="1567"/>
        <v>2.165660411857688E-5</v>
      </c>
      <c r="N2920" t="s">
        <v>242</v>
      </c>
      <c r="O2920" t="s">
        <v>358</v>
      </c>
      <c r="P2920" t="s">
        <v>424</v>
      </c>
      <c r="Q2920" s="4" t="s">
        <v>245</v>
      </c>
    </row>
    <row r="2921" spans="1:17" x14ac:dyDescent="0.25">
      <c r="A2921" t="s">
        <v>424</v>
      </c>
      <c r="B2921" t="s">
        <v>175</v>
      </c>
      <c r="C2921" s="4">
        <f t="shared" ref="C2921:M2921" si="1568">(0.00396421732885982/(0.0900940072589024+0.00396421732885982+0.0572052587068733+0.752028927432513))  * 0.0217131491179174%</f>
        <v>9.5291005409947784E-7</v>
      </c>
      <c r="D2921" s="4">
        <f t="shared" si="1568"/>
        <v>9.5291005409947784E-7</v>
      </c>
      <c r="E2921" s="4">
        <f t="shared" si="1568"/>
        <v>9.5291005409947784E-7</v>
      </c>
      <c r="F2921" s="4">
        <f t="shared" si="1568"/>
        <v>9.5291005409947784E-7</v>
      </c>
      <c r="G2921" s="4">
        <f t="shared" si="1568"/>
        <v>9.5291005409947784E-7</v>
      </c>
      <c r="H2921" s="4">
        <f t="shared" si="1568"/>
        <v>9.5291005409947784E-7</v>
      </c>
      <c r="I2921" s="4">
        <f t="shared" si="1568"/>
        <v>9.5291005409947784E-7</v>
      </c>
      <c r="J2921" s="4">
        <f t="shared" si="1568"/>
        <v>9.5291005409947784E-7</v>
      </c>
      <c r="K2921" s="4">
        <f t="shared" si="1568"/>
        <v>9.5291005409947784E-7</v>
      </c>
      <c r="L2921" s="4">
        <f t="shared" si="1568"/>
        <v>9.5291005409947784E-7</v>
      </c>
      <c r="M2921" s="4">
        <f t="shared" si="1568"/>
        <v>9.5291005409947784E-7</v>
      </c>
      <c r="N2921" t="s">
        <v>256</v>
      </c>
      <c r="O2921" t="s">
        <v>353</v>
      </c>
      <c r="P2921" t="s">
        <v>424</v>
      </c>
      <c r="Q2921" s="4" t="s">
        <v>245</v>
      </c>
    </row>
    <row r="2922" spans="1:17" x14ac:dyDescent="0.25">
      <c r="A2922" t="s">
        <v>424</v>
      </c>
      <c r="B2922" t="s">
        <v>175</v>
      </c>
      <c r="C2922" s="4">
        <f t="shared" ref="C2922:M2922" si="1569">(0.0572052587068733/(0.0900940072589024+0.00396421732885982+0.0572052587068733+0.752028927432513)) * 0.0217131491179174%</f>
        <v>1.3750877322565896E-5</v>
      </c>
      <c r="D2922" s="4">
        <f t="shared" si="1569"/>
        <v>1.3750877322565896E-5</v>
      </c>
      <c r="E2922" s="4">
        <f t="shared" si="1569"/>
        <v>1.3750877322565896E-5</v>
      </c>
      <c r="F2922" s="4">
        <f t="shared" si="1569"/>
        <v>1.3750877322565896E-5</v>
      </c>
      <c r="G2922" s="4">
        <f t="shared" si="1569"/>
        <v>1.3750877322565896E-5</v>
      </c>
      <c r="H2922" s="4">
        <f t="shared" si="1569"/>
        <v>1.3750877322565896E-5</v>
      </c>
      <c r="I2922" s="4">
        <f t="shared" si="1569"/>
        <v>1.3750877322565896E-5</v>
      </c>
      <c r="J2922" s="4">
        <f t="shared" si="1569"/>
        <v>1.3750877322565896E-5</v>
      </c>
      <c r="K2922" s="4">
        <f t="shared" si="1569"/>
        <v>1.3750877322565896E-5</v>
      </c>
      <c r="L2922" s="4">
        <f t="shared" si="1569"/>
        <v>1.3750877322565896E-5</v>
      </c>
      <c r="M2922" s="4">
        <f t="shared" si="1569"/>
        <v>1.3750877322565896E-5</v>
      </c>
      <c r="N2922" t="s">
        <v>256</v>
      </c>
      <c r="O2922" t="s">
        <v>280</v>
      </c>
      <c r="P2922" t="s">
        <v>424</v>
      </c>
      <c r="Q2922" s="4" t="s">
        <v>245</v>
      </c>
    </row>
    <row r="2923" spans="1:17" x14ac:dyDescent="0.25">
      <c r="A2923" t="s">
        <v>424</v>
      </c>
      <c r="B2923" t="s">
        <v>175</v>
      </c>
      <c r="C2923" s="4">
        <f t="shared" ref="C2923:M2923" si="1570">(0.752028927432513/(0.0900940072589024+0.00396421732885982+0.0572052587068733+0.752028927432513)) * 0.0217131491179174%</f>
        <v>1.8077109968393174E-4</v>
      </c>
      <c r="D2923" s="4">
        <f t="shared" si="1570"/>
        <v>1.8077109968393174E-4</v>
      </c>
      <c r="E2923" s="4">
        <f t="shared" si="1570"/>
        <v>1.8077109968393174E-4</v>
      </c>
      <c r="F2923" s="4">
        <f t="shared" si="1570"/>
        <v>1.8077109968393174E-4</v>
      </c>
      <c r="G2923" s="4">
        <f t="shared" si="1570"/>
        <v>1.8077109968393174E-4</v>
      </c>
      <c r="H2923" s="4">
        <f t="shared" si="1570"/>
        <v>1.8077109968393174E-4</v>
      </c>
      <c r="I2923" s="4">
        <f t="shared" si="1570"/>
        <v>1.8077109968393174E-4</v>
      </c>
      <c r="J2923" s="4">
        <f t="shared" si="1570"/>
        <v>1.8077109968393174E-4</v>
      </c>
      <c r="K2923" s="4">
        <f t="shared" si="1570"/>
        <v>1.8077109968393174E-4</v>
      </c>
      <c r="L2923" s="4">
        <f t="shared" si="1570"/>
        <v>1.8077109968393174E-4</v>
      </c>
      <c r="M2923" s="4">
        <f t="shared" si="1570"/>
        <v>1.8077109968393174E-4</v>
      </c>
      <c r="N2923" t="s">
        <v>256</v>
      </c>
      <c r="O2923" t="s">
        <v>354</v>
      </c>
      <c r="P2923" t="s">
        <v>424</v>
      </c>
      <c r="Q2923" s="4" t="s">
        <v>245</v>
      </c>
    </row>
    <row r="2924" spans="1:17" x14ac:dyDescent="0.25">
      <c r="A2924" t="s">
        <v>424</v>
      </c>
      <c r="B2924" t="s">
        <v>131</v>
      </c>
      <c r="C2924" s="4">
        <f t="shared" ref="C2924:M2924" si="1571">(0.0900940072589024/(0.0900940072589024+0.00396421732885982+0.0572052587068733+0.752028927432513)) * 0.0167784092183407%</f>
        <v>1.6734715181467758E-5</v>
      </c>
      <c r="D2924" s="4">
        <f t="shared" si="1571"/>
        <v>1.6734715181467758E-5</v>
      </c>
      <c r="E2924" s="4">
        <f t="shared" si="1571"/>
        <v>1.6734715181467758E-5</v>
      </c>
      <c r="F2924" s="4">
        <f t="shared" si="1571"/>
        <v>1.6734715181467758E-5</v>
      </c>
      <c r="G2924" s="4">
        <f t="shared" si="1571"/>
        <v>1.6734715181467758E-5</v>
      </c>
      <c r="H2924" s="4">
        <f t="shared" si="1571"/>
        <v>1.6734715181467758E-5</v>
      </c>
      <c r="I2924" s="4">
        <f t="shared" si="1571"/>
        <v>1.6734715181467758E-5</v>
      </c>
      <c r="J2924" s="4">
        <f t="shared" si="1571"/>
        <v>1.6734715181467758E-5</v>
      </c>
      <c r="K2924" s="4">
        <f t="shared" si="1571"/>
        <v>1.6734715181467758E-5</v>
      </c>
      <c r="L2924" s="4">
        <f t="shared" si="1571"/>
        <v>1.6734715181467758E-5</v>
      </c>
      <c r="M2924" s="4">
        <f t="shared" si="1571"/>
        <v>1.6734715181467758E-5</v>
      </c>
      <c r="N2924" t="s">
        <v>242</v>
      </c>
      <c r="O2924" t="s">
        <v>358</v>
      </c>
      <c r="P2924" t="s">
        <v>424</v>
      </c>
      <c r="Q2924" s="4" t="s">
        <v>245</v>
      </c>
    </row>
    <row r="2925" spans="1:17" x14ac:dyDescent="0.25">
      <c r="A2925" t="s">
        <v>424</v>
      </c>
      <c r="B2925" t="s">
        <v>131</v>
      </c>
      <c r="C2925" s="4">
        <f t="shared" ref="C2925:M2925" si="1572">(0.00396421732885982/(0.0900940072589024+0.00396421732885982+0.0572052587068733+0.752028927432513))  * 0.0167784092183407%</f>
        <v>7.3634251527148931E-7</v>
      </c>
      <c r="D2925" s="4">
        <f t="shared" si="1572"/>
        <v>7.3634251527148931E-7</v>
      </c>
      <c r="E2925" s="4">
        <f t="shared" si="1572"/>
        <v>7.3634251527148931E-7</v>
      </c>
      <c r="F2925" s="4">
        <f t="shared" si="1572"/>
        <v>7.3634251527148931E-7</v>
      </c>
      <c r="G2925" s="4">
        <f t="shared" si="1572"/>
        <v>7.3634251527148931E-7</v>
      </c>
      <c r="H2925" s="4">
        <f t="shared" si="1572"/>
        <v>7.3634251527148931E-7</v>
      </c>
      <c r="I2925" s="4">
        <f t="shared" si="1572"/>
        <v>7.3634251527148931E-7</v>
      </c>
      <c r="J2925" s="4">
        <f t="shared" si="1572"/>
        <v>7.3634251527148931E-7</v>
      </c>
      <c r="K2925" s="4">
        <f t="shared" si="1572"/>
        <v>7.3634251527148931E-7</v>
      </c>
      <c r="L2925" s="4">
        <f t="shared" si="1572"/>
        <v>7.3634251527148931E-7</v>
      </c>
      <c r="M2925" s="4">
        <f t="shared" si="1572"/>
        <v>7.3634251527148931E-7</v>
      </c>
      <c r="N2925" t="s">
        <v>256</v>
      </c>
      <c r="O2925" t="s">
        <v>353</v>
      </c>
      <c r="P2925" t="s">
        <v>424</v>
      </c>
      <c r="Q2925" s="4" t="s">
        <v>245</v>
      </c>
    </row>
    <row r="2926" spans="1:17" x14ac:dyDescent="0.25">
      <c r="A2926" t="s">
        <v>424</v>
      </c>
      <c r="B2926" t="s">
        <v>131</v>
      </c>
      <c r="C2926" s="4">
        <f t="shared" ref="C2926:M2926" si="1573">(0.0572052587068733/(0.0900940072589024+0.00396421732885982+0.0572052587068733+0.752028927432513)) * 0.0167784092183407%</f>
        <v>1.0625720183482112E-5</v>
      </c>
      <c r="D2926" s="4">
        <f t="shared" si="1573"/>
        <v>1.0625720183482112E-5</v>
      </c>
      <c r="E2926" s="4">
        <f t="shared" si="1573"/>
        <v>1.0625720183482112E-5</v>
      </c>
      <c r="F2926" s="4">
        <f t="shared" si="1573"/>
        <v>1.0625720183482112E-5</v>
      </c>
      <c r="G2926" s="4">
        <f t="shared" si="1573"/>
        <v>1.0625720183482112E-5</v>
      </c>
      <c r="H2926" s="4">
        <f t="shared" si="1573"/>
        <v>1.0625720183482112E-5</v>
      </c>
      <c r="I2926" s="4">
        <f t="shared" si="1573"/>
        <v>1.0625720183482112E-5</v>
      </c>
      <c r="J2926" s="4">
        <f t="shared" si="1573"/>
        <v>1.0625720183482112E-5</v>
      </c>
      <c r="K2926" s="4">
        <f t="shared" si="1573"/>
        <v>1.0625720183482112E-5</v>
      </c>
      <c r="L2926" s="4">
        <f t="shared" si="1573"/>
        <v>1.0625720183482112E-5</v>
      </c>
      <c r="M2926" s="4">
        <f t="shared" si="1573"/>
        <v>1.0625720183482112E-5</v>
      </c>
      <c r="N2926" t="s">
        <v>256</v>
      </c>
      <c r="O2926" t="s">
        <v>280</v>
      </c>
      <c r="P2926" t="s">
        <v>424</v>
      </c>
      <c r="Q2926" s="4" t="s">
        <v>245</v>
      </c>
    </row>
    <row r="2927" spans="1:17" x14ac:dyDescent="0.25">
      <c r="A2927" t="s">
        <v>424</v>
      </c>
      <c r="B2927" t="s">
        <v>131</v>
      </c>
      <c r="C2927" s="4">
        <f t="shared" ref="C2927:M2927" si="1574">(0.752028927432513/(0.0900940072589024+0.00396421732885982+0.0572052587068733+0.752028927432513)) * 0.0167784092183407%</f>
        <v>1.3968731430318566E-4</v>
      </c>
      <c r="D2927" s="4">
        <f t="shared" si="1574"/>
        <v>1.3968731430318566E-4</v>
      </c>
      <c r="E2927" s="4">
        <f t="shared" si="1574"/>
        <v>1.3968731430318566E-4</v>
      </c>
      <c r="F2927" s="4">
        <f t="shared" si="1574"/>
        <v>1.3968731430318566E-4</v>
      </c>
      <c r="G2927" s="4">
        <f t="shared" si="1574"/>
        <v>1.3968731430318566E-4</v>
      </c>
      <c r="H2927" s="4">
        <f t="shared" si="1574"/>
        <v>1.3968731430318566E-4</v>
      </c>
      <c r="I2927" s="4">
        <f t="shared" si="1574"/>
        <v>1.3968731430318566E-4</v>
      </c>
      <c r="J2927" s="4">
        <f t="shared" si="1574"/>
        <v>1.3968731430318566E-4</v>
      </c>
      <c r="K2927" s="4">
        <f t="shared" si="1574"/>
        <v>1.3968731430318566E-4</v>
      </c>
      <c r="L2927" s="4">
        <f t="shared" si="1574"/>
        <v>1.3968731430318566E-4</v>
      </c>
      <c r="M2927" s="4">
        <f t="shared" si="1574"/>
        <v>1.3968731430318566E-4</v>
      </c>
      <c r="N2927" t="s">
        <v>256</v>
      </c>
      <c r="O2927" t="s">
        <v>354</v>
      </c>
      <c r="P2927" t="s">
        <v>424</v>
      </c>
      <c r="Q2927" s="4" t="s">
        <v>245</v>
      </c>
    </row>
    <row r="2928" spans="1:17" x14ac:dyDescent="0.25">
      <c r="A2928" t="s">
        <v>424</v>
      </c>
      <c r="B2928" t="s">
        <v>201</v>
      </c>
      <c r="C2928" s="4">
        <f t="shared" ref="C2928:M2928" si="1575">(0.0900940072589024/(0.0900940072589024+0.00396421732885982+0.0572052587068733+0.752028927432513)) * 0.0640752931517318%</f>
        <v>6.3908429405283411E-5</v>
      </c>
      <c r="D2928" s="4">
        <f t="shared" si="1575"/>
        <v>6.3908429405283411E-5</v>
      </c>
      <c r="E2928" s="4">
        <f t="shared" si="1575"/>
        <v>6.3908429405283411E-5</v>
      </c>
      <c r="F2928" s="4">
        <f t="shared" si="1575"/>
        <v>6.3908429405283411E-5</v>
      </c>
      <c r="G2928" s="4">
        <f t="shared" si="1575"/>
        <v>6.3908429405283411E-5</v>
      </c>
      <c r="H2928" s="4">
        <f t="shared" si="1575"/>
        <v>6.3908429405283411E-5</v>
      </c>
      <c r="I2928" s="4">
        <f t="shared" si="1575"/>
        <v>6.3908429405283411E-5</v>
      </c>
      <c r="J2928" s="4">
        <f t="shared" si="1575"/>
        <v>6.3908429405283411E-5</v>
      </c>
      <c r="K2928" s="4">
        <f t="shared" si="1575"/>
        <v>6.3908429405283411E-5</v>
      </c>
      <c r="L2928" s="4">
        <f t="shared" si="1575"/>
        <v>6.3908429405283411E-5</v>
      </c>
      <c r="M2928" s="4">
        <f t="shared" si="1575"/>
        <v>6.3908429405283411E-5</v>
      </c>
      <c r="N2928" t="s">
        <v>242</v>
      </c>
      <c r="O2928" t="s">
        <v>358</v>
      </c>
      <c r="P2928" t="s">
        <v>424</v>
      </c>
      <c r="Q2928" s="4" t="s">
        <v>245</v>
      </c>
    </row>
    <row r="2929" spans="1:17" x14ac:dyDescent="0.25">
      <c r="A2929" t="s">
        <v>424</v>
      </c>
      <c r="B2929" t="s">
        <v>201</v>
      </c>
      <c r="C2929" s="4">
        <f t="shared" ref="C2929:M2929" si="1576">(0.00396421732885982/(0.0900940072589024+0.00396421732885982+0.0572052587068733+0.752028927432513))  * 0.0640752931517318%</f>
        <v>2.8120283581192937E-6</v>
      </c>
      <c r="D2929" s="4">
        <f t="shared" si="1576"/>
        <v>2.8120283581192937E-6</v>
      </c>
      <c r="E2929" s="4">
        <f t="shared" si="1576"/>
        <v>2.8120283581192937E-6</v>
      </c>
      <c r="F2929" s="4">
        <f t="shared" si="1576"/>
        <v>2.8120283581192937E-6</v>
      </c>
      <c r="G2929" s="4">
        <f t="shared" si="1576"/>
        <v>2.8120283581192937E-6</v>
      </c>
      <c r="H2929" s="4">
        <f t="shared" si="1576"/>
        <v>2.8120283581192937E-6</v>
      </c>
      <c r="I2929" s="4">
        <f t="shared" si="1576"/>
        <v>2.8120283581192937E-6</v>
      </c>
      <c r="J2929" s="4">
        <f t="shared" si="1576"/>
        <v>2.8120283581192937E-6</v>
      </c>
      <c r="K2929" s="4">
        <f t="shared" si="1576"/>
        <v>2.8120283581192937E-6</v>
      </c>
      <c r="L2929" s="4">
        <f t="shared" si="1576"/>
        <v>2.8120283581192937E-6</v>
      </c>
      <c r="M2929" s="4">
        <f t="shared" si="1576"/>
        <v>2.8120283581192937E-6</v>
      </c>
      <c r="N2929" t="s">
        <v>256</v>
      </c>
      <c r="O2929" t="s">
        <v>353</v>
      </c>
      <c r="P2929" t="s">
        <v>424</v>
      </c>
      <c r="Q2929" s="4" t="s">
        <v>245</v>
      </c>
    </row>
    <row r="2930" spans="1:17" x14ac:dyDescent="0.25">
      <c r="A2930" t="s">
        <v>424</v>
      </c>
      <c r="B2930" t="s">
        <v>201</v>
      </c>
      <c r="C2930" s="4">
        <f t="shared" ref="C2930:M2930" si="1577">(0.0572052587068733/(0.0900940072589024+0.00396421732885982+0.0572052587068733+0.752028927432513)) * 0.0640752931517318%</f>
        <v>4.0578706052815054E-5</v>
      </c>
      <c r="D2930" s="4">
        <f t="shared" si="1577"/>
        <v>4.0578706052815054E-5</v>
      </c>
      <c r="E2930" s="4">
        <f t="shared" si="1577"/>
        <v>4.0578706052815054E-5</v>
      </c>
      <c r="F2930" s="4">
        <f t="shared" si="1577"/>
        <v>4.0578706052815054E-5</v>
      </c>
      <c r="G2930" s="4">
        <f t="shared" si="1577"/>
        <v>4.0578706052815054E-5</v>
      </c>
      <c r="H2930" s="4">
        <f t="shared" si="1577"/>
        <v>4.0578706052815054E-5</v>
      </c>
      <c r="I2930" s="4">
        <f t="shared" si="1577"/>
        <v>4.0578706052815054E-5</v>
      </c>
      <c r="J2930" s="4">
        <f t="shared" si="1577"/>
        <v>4.0578706052815054E-5</v>
      </c>
      <c r="K2930" s="4">
        <f t="shared" si="1577"/>
        <v>4.0578706052815054E-5</v>
      </c>
      <c r="L2930" s="4">
        <f t="shared" si="1577"/>
        <v>4.0578706052815054E-5</v>
      </c>
      <c r="M2930" s="4">
        <f t="shared" si="1577"/>
        <v>4.0578706052815054E-5</v>
      </c>
      <c r="N2930" t="s">
        <v>256</v>
      </c>
      <c r="O2930" t="s">
        <v>280</v>
      </c>
      <c r="P2930" t="s">
        <v>424</v>
      </c>
      <c r="Q2930" s="4" t="s">
        <v>245</v>
      </c>
    </row>
    <row r="2931" spans="1:17" x14ac:dyDescent="0.25">
      <c r="A2931" t="s">
        <v>424</v>
      </c>
      <c r="B2931" t="s">
        <v>201</v>
      </c>
      <c r="C2931" s="4">
        <f t="shared" ref="C2931:M2931" si="1578">(0.752028927432513/(0.0900940072589024+0.00396421732885982+0.0572052587068733+0.752028927432513)) * 0.0640752931517318%</f>
        <v>5.3345376770110031E-4</v>
      </c>
      <c r="D2931" s="4">
        <f t="shared" si="1578"/>
        <v>5.3345376770110031E-4</v>
      </c>
      <c r="E2931" s="4">
        <f t="shared" si="1578"/>
        <v>5.3345376770110031E-4</v>
      </c>
      <c r="F2931" s="4">
        <f t="shared" si="1578"/>
        <v>5.3345376770110031E-4</v>
      </c>
      <c r="G2931" s="4">
        <f t="shared" si="1578"/>
        <v>5.3345376770110031E-4</v>
      </c>
      <c r="H2931" s="4">
        <f t="shared" si="1578"/>
        <v>5.3345376770110031E-4</v>
      </c>
      <c r="I2931" s="4">
        <f t="shared" si="1578"/>
        <v>5.3345376770110031E-4</v>
      </c>
      <c r="J2931" s="4">
        <f t="shared" si="1578"/>
        <v>5.3345376770110031E-4</v>
      </c>
      <c r="K2931" s="4">
        <f t="shared" si="1578"/>
        <v>5.3345376770110031E-4</v>
      </c>
      <c r="L2931" s="4">
        <f t="shared" si="1578"/>
        <v>5.3345376770110031E-4</v>
      </c>
      <c r="M2931" s="4">
        <f t="shared" si="1578"/>
        <v>5.3345376770110031E-4</v>
      </c>
      <c r="N2931" t="s">
        <v>256</v>
      </c>
      <c r="O2931" t="s">
        <v>354</v>
      </c>
      <c r="P2931" t="s">
        <v>424</v>
      </c>
      <c r="Q2931" s="4" t="s">
        <v>245</v>
      </c>
    </row>
    <row r="2932" spans="1:17" x14ac:dyDescent="0.25">
      <c r="A2932" t="s">
        <v>424</v>
      </c>
      <c r="B2932" t="s">
        <v>202</v>
      </c>
      <c r="C2932" s="4">
        <f t="shared" ref="C2932:M2932" si="1579">(0.0900940072589024/(0.0900940072589024+0.00396421732885982+0.0572052587068733+0.752028927432513)) * 0.000215766438202789%</f>
        <v>2.1520454305622937E-7</v>
      </c>
      <c r="D2932" s="4">
        <f t="shared" si="1579"/>
        <v>2.1520454305622937E-7</v>
      </c>
      <c r="E2932" s="4">
        <f t="shared" si="1579"/>
        <v>2.1520454305622937E-7</v>
      </c>
      <c r="F2932" s="4">
        <f t="shared" si="1579"/>
        <v>2.1520454305622937E-7</v>
      </c>
      <c r="G2932" s="4">
        <f t="shared" si="1579"/>
        <v>2.1520454305622937E-7</v>
      </c>
      <c r="H2932" s="4">
        <f t="shared" si="1579"/>
        <v>2.1520454305622937E-7</v>
      </c>
      <c r="I2932" s="4">
        <f t="shared" si="1579"/>
        <v>2.1520454305622937E-7</v>
      </c>
      <c r="J2932" s="4">
        <f t="shared" si="1579"/>
        <v>2.1520454305622937E-7</v>
      </c>
      <c r="K2932" s="4">
        <f t="shared" si="1579"/>
        <v>2.1520454305622937E-7</v>
      </c>
      <c r="L2932" s="4">
        <f t="shared" si="1579"/>
        <v>2.1520454305622937E-7</v>
      </c>
      <c r="M2932" s="4">
        <f t="shared" si="1579"/>
        <v>2.1520454305622937E-7</v>
      </c>
      <c r="N2932" t="s">
        <v>242</v>
      </c>
      <c r="O2932" t="s">
        <v>358</v>
      </c>
      <c r="P2932" t="s">
        <v>424</v>
      </c>
      <c r="Q2932" s="4" t="s">
        <v>245</v>
      </c>
    </row>
    <row r="2933" spans="1:17" x14ac:dyDescent="0.25">
      <c r="A2933" t="s">
        <v>424</v>
      </c>
      <c r="B2933" t="s">
        <v>202</v>
      </c>
      <c r="C2933" s="4">
        <f t="shared" ref="C2933:M2933" si="1580">(0.00396421732885982/(0.0900940072589024+0.00396421732885982+0.0572052587068733+0.752028927432513))  * 0.000215766438202789%</f>
        <v>9.4691933990822157E-9</v>
      </c>
      <c r="D2933" s="4">
        <f t="shared" si="1580"/>
        <v>9.4691933990822157E-9</v>
      </c>
      <c r="E2933" s="4">
        <f t="shared" si="1580"/>
        <v>9.4691933990822157E-9</v>
      </c>
      <c r="F2933" s="4">
        <f t="shared" si="1580"/>
        <v>9.4691933990822157E-9</v>
      </c>
      <c r="G2933" s="4">
        <f t="shared" si="1580"/>
        <v>9.4691933990822157E-9</v>
      </c>
      <c r="H2933" s="4">
        <f t="shared" si="1580"/>
        <v>9.4691933990822157E-9</v>
      </c>
      <c r="I2933" s="4">
        <f t="shared" si="1580"/>
        <v>9.4691933990822157E-9</v>
      </c>
      <c r="J2933" s="4">
        <f t="shared" si="1580"/>
        <v>9.4691933990822157E-9</v>
      </c>
      <c r="K2933" s="4">
        <f t="shared" si="1580"/>
        <v>9.4691933990822157E-9</v>
      </c>
      <c r="L2933" s="4">
        <f t="shared" si="1580"/>
        <v>9.4691933990822157E-9</v>
      </c>
      <c r="M2933" s="4">
        <f t="shared" si="1580"/>
        <v>9.4691933990822157E-9</v>
      </c>
      <c r="N2933" t="s">
        <v>256</v>
      </c>
      <c r="O2933" t="s">
        <v>353</v>
      </c>
      <c r="P2933" t="s">
        <v>424</v>
      </c>
      <c r="Q2933" s="4" t="s">
        <v>245</v>
      </c>
    </row>
    <row r="2934" spans="1:17" x14ac:dyDescent="0.25">
      <c r="A2934" t="s">
        <v>424</v>
      </c>
      <c r="B2934" t="s">
        <v>202</v>
      </c>
      <c r="C2934" s="4">
        <f t="shared" ref="C2934:M2934" si="1581">(0.0572052587068733/(0.0900940072589024+0.00396421732885982+0.0572052587068733+0.752028927432513)) * 0.000215766438202789%</f>
        <v>1.3664428894863693E-7</v>
      </c>
      <c r="D2934" s="4">
        <f t="shared" si="1581"/>
        <v>1.3664428894863693E-7</v>
      </c>
      <c r="E2934" s="4">
        <f t="shared" si="1581"/>
        <v>1.3664428894863693E-7</v>
      </c>
      <c r="F2934" s="4">
        <f t="shared" si="1581"/>
        <v>1.3664428894863693E-7</v>
      </c>
      <c r="G2934" s="4">
        <f t="shared" si="1581"/>
        <v>1.3664428894863693E-7</v>
      </c>
      <c r="H2934" s="4">
        <f t="shared" si="1581"/>
        <v>1.3664428894863693E-7</v>
      </c>
      <c r="I2934" s="4">
        <f t="shared" si="1581"/>
        <v>1.3664428894863693E-7</v>
      </c>
      <c r="J2934" s="4">
        <f t="shared" si="1581"/>
        <v>1.3664428894863693E-7</v>
      </c>
      <c r="K2934" s="4">
        <f t="shared" si="1581"/>
        <v>1.3664428894863693E-7</v>
      </c>
      <c r="L2934" s="4">
        <f t="shared" si="1581"/>
        <v>1.3664428894863693E-7</v>
      </c>
      <c r="M2934" s="4">
        <f t="shared" si="1581"/>
        <v>1.3664428894863693E-7</v>
      </c>
      <c r="N2934" t="s">
        <v>256</v>
      </c>
      <c r="O2934" t="s">
        <v>280</v>
      </c>
      <c r="P2934" t="s">
        <v>424</v>
      </c>
      <c r="Q2934" s="4" t="s">
        <v>245</v>
      </c>
    </row>
    <row r="2935" spans="1:17" x14ac:dyDescent="0.25">
      <c r="A2935" t="s">
        <v>424</v>
      </c>
      <c r="B2935" t="s">
        <v>202</v>
      </c>
      <c r="C2935" s="4">
        <f t="shared" ref="C2935:M2935" si="1582">(0.752028927432513/(0.0900940072589024+0.00396421732885982+0.0572052587068733+0.752028927432513)) * 0.000215766438202789%</f>
        <v>1.7963463566239413E-6</v>
      </c>
      <c r="D2935" s="4">
        <f t="shared" si="1582"/>
        <v>1.7963463566239413E-6</v>
      </c>
      <c r="E2935" s="4">
        <f t="shared" si="1582"/>
        <v>1.7963463566239413E-6</v>
      </c>
      <c r="F2935" s="4">
        <f t="shared" si="1582"/>
        <v>1.7963463566239413E-6</v>
      </c>
      <c r="G2935" s="4">
        <f t="shared" si="1582"/>
        <v>1.7963463566239413E-6</v>
      </c>
      <c r="H2935" s="4">
        <f t="shared" si="1582"/>
        <v>1.7963463566239413E-6</v>
      </c>
      <c r="I2935" s="4">
        <f t="shared" si="1582"/>
        <v>1.7963463566239413E-6</v>
      </c>
      <c r="J2935" s="4">
        <f t="shared" si="1582"/>
        <v>1.7963463566239413E-6</v>
      </c>
      <c r="K2935" s="4">
        <f t="shared" si="1582"/>
        <v>1.7963463566239413E-6</v>
      </c>
      <c r="L2935" s="4">
        <f t="shared" si="1582"/>
        <v>1.7963463566239413E-6</v>
      </c>
      <c r="M2935" s="4">
        <f t="shared" si="1582"/>
        <v>1.7963463566239413E-6</v>
      </c>
      <c r="N2935" t="s">
        <v>256</v>
      </c>
      <c r="O2935" t="s">
        <v>354</v>
      </c>
      <c r="P2935" t="s">
        <v>424</v>
      </c>
      <c r="Q2935" s="4" t="s">
        <v>245</v>
      </c>
    </row>
    <row r="2936" spans="1:17" x14ac:dyDescent="0.25">
      <c r="A2936" t="s">
        <v>424</v>
      </c>
      <c r="B2936" t="s">
        <v>176</v>
      </c>
      <c r="C2936" s="4">
        <f t="shared" ref="C2936:M2936" si="1583">(0.0900940072589024/(0.0900940072589024+0.00396421732885982+0.0572052587068733+0.752028927432513)) * 0.0467229745637496%</f>
        <v>4.6601299418815693E-5</v>
      </c>
      <c r="D2936" s="4">
        <f t="shared" si="1583"/>
        <v>4.6601299418815693E-5</v>
      </c>
      <c r="E2936" s="4">
        <f t="shared" si="1583"/>
        <v>4.6601299418815693E-5</v>
      </c>
      <c r="F2936" s="4">
        <f t="shared" si="1583"/>
        <v>4.6601299418815693E-5</v>
      </c>
      <c r="G2936" s="4">
        <f t="shared" si="1583"/>
        <v>4.6601299418815693E-5</v>
      </c>
      <c r="H2936" s="4">
        <f t="shared" si="1583"/>
        <v>4.6601299418815693E-5</v>
      </c>
      <c r="I2936" s="4">
        <f t="shared" si="1583"/>
        <v>4.6601299418815693E-5</v>
      </c>
      <c r="J2936" s="4">
        <f t="shared" si="1583"/>
        <v>4.6601299418815693E-5</v>
      </c>
      <c r="K2936" s="4">
        <f t="shared" si="1583"/>
        <v>4.6601299418815693E-5</v>
      </c>
      <c r="L2936" s="4">
        <f t="shared" si="1583"/>
        <v>4.6601299418815693E-5</v>
      </c>
      <c r="M2936" s="4">
        <f t="shared" si="1583"/>
        <v>4.6601299418815693E-5</v>
      </c>
      <c r="N2936" t="s">
        <v>242</v>
      </c>
      <c r="O2936" t="s">
        <v>358</v>
      </c>
      <c r="P2936" t="s">
        <v>424</v>
      </c>
      <c r="Q2936" s="4" t="s">
        <v>245</v>
      </c>
    </row>
    <row r="2937" spans="1:17" x14ac:dyDescent="0.25">
      <c r="A2937" t="s">
        <v>424</v>
      </c>
      <c r="B2937" t="s">
        <v>176</v>
      </c>
      <c r="C2937" s="4">
        <f t="shared" ref="C2937:M2937" si="1584">(0.00396421732885982/(0.0900940072589024+0.00396421732885982+0.0572052587068733+0.752028927432513))  * 0.0467229745637496%</f>
        <v>2.0504990767318756E-6</v>
      </c>
      <c r="D2937" s="4">
        <f t="shared" si="1584"/>
        <v>2.0504990767318756E-6</v>
      </c>
      <c r="E2937" s="4">
        <f t="shared" si="1584"/>
        <v>2.0504990767318756E-6</v>
      </c>
      <c r="F2937" s="4">
        <f t="shared" si="1584"/>
        <v>2.0504990767318756E-6</v>
      </c>
      <c r="G2937" s="4">
        <f t="shared" si="1584"/>
        <v>2.0504990767318756E-6</v>
      </c>
      <c r="H2937" s="4">
        <f t="shared" si="1584"/>
        <v>2.0504990767318756E-6</v>
      </c>
      <c r="I2937" s="4">
        <f t="shared" si="1584"/>
        <v>2.0504990767318756E-6</v>
      </c>
      <c r="J2937" s="4">
        <f t="shared" si="1584"/>
        <v>2.0504990767318756E-6</v>
      </c>
      <c r="K2937" s="4">
        <f t="shared" si="1584"/>
        <v>2.0504990767318756E-6</v>
      </c>
      <c r="L2937" s="4">
        <f t="shared" si="1584"/>
        <v>2.0504990767318756E-6</v>
      </c>
      <c r="M2937" s="4">
        <f t="shared" si="1584"/>
        <v>2.0504990767318756E-6</v>
      </c>
      <c r="N2937" t="s">
        <v>256</v>
      </c>
      <c r="O2937" t="s">
        <v>353</v>
      </c>
      <c r="P2937" t="s">
        <v>424</v>
      </c>
      <c r="Q2937" s="4" t="s">
        <v>245</v>
      </c>
    </row>
    <row r="2938" spans="1:17" x14ac:dyDescent="0.25">
      <c r="A2938" t="s">
        <v>424</v>
      </c>
      <c r="B2938" t="s">
        <v>176</v>
      </c>
      <c r="C2938" s="4">
        <f t="shared" ref="C2938:M2938" si="1585">(0.0572052587068733/(0.0900940072589024+0.00396421732885982+0.0572052587068733+0.752028927432513)) * 0.0467229745637496%</f>
        <v>2.9589530651789248E-5</v>
      </c>
      <c r="D2938" s="4">
        <f t="shared" si="1585"/>
        <v>2.9589530651789248E-5</v>
      </c>
      <c r="E2938" s="4">
        <f t="shared" si="1585"/>
        <v>2.9589530651789248E-5</v>
      </c>
      <c r="F2938" s="4">
        <f t="shared" si="1585"/>
        <v>2.9589530651789248E-5</v>
      </c>
      <c r="G2938" s="4">
        <f t="shared" si="1585"/>
        <v>2.9589530651789248E-5</v>
      </c>
      <c r="H2938" s="4">
        <f t="shared" si="1585"/>
        <v>2.9589530651789248E-5</v>
      </c>
      <c r="I2938" s="4">
        <f t="shared" si="1585"/>
        <v>2.9589530651789248E-5</v>
      </c>
      <c r="J2938" s="4">
        <f t="shared" si="1585"/>
        <v>2.9589530651789248E-5</v>
      </c>
      <c r="K2938" s="4">
        <f t="shared" si="1585"/>
        <v>2.9589530651789248E-5</v>
      </c>
      <c r="L2938" s="4">
        <f t="shared" si="1585"/>
        <v>2.9589530651789248E-5</v>
      </c>
      <c r="M2938" s="4">
        <f t="shared" si="1585"/>
        <v>2.9589530651789248E-5</v>
      </c>
      <c r="N2938" t="s">
        <v>256</v>
      </c>
      <c r="O2938" t="s">
        <v>280</v>
      </c>
      <c r="P2938" t="s">
        <v>424</v>
      </c>
      <c r="Q2938" s="4" t="s">
        <v>245</v>
      </c>
    </row>
    <row r="2939" spans="1:17" x14ac:dyDescent="0.25">
      <c r="A2939" t="s">
        <v>424</v>
      </c>
      <c r="B2939" t="s">
        <v>176</v>
      </c>
      <c r="C2939" s="4">
        <f t="shared" ref="C2939:M2939" si="1586">(0.752028927432513/(0.0900940072589024+0.00396421732885982+0.0572052587068733+0.752028927432513)) * 0.0467229745637496%</f>
        <v>3.8898841649015925E-4</v>
      </c>
      <c r="D2939" s="4">
        <f t="shared" si="1586"/>
        <v>3.8898841649015925E-4</v>
      </c>
      <c r="E2939" s="4">
        <f t="shared" si="1586"/>
        <v>3.8898841649015925E-4</v>
      </c>
      <c r="F2939" s="4">
        <f t="shared" si="1586"/>
        <v>3.8898841649015925E-4</v>
      </c>
      <c r="G2939" s="4">
        <f t="shared" si="1586"/>
        <v>3.8898841649015925E-4</v>
      </c>
      <c r="H2939" s="4">
        <f t="shared" si="1586"/>
        <v>3.8898841649015925E-4</v>
      </c>
      <c r="I2939" s="4">
        <f t="shared" si="1586"/>
        <v>3.8898841649015925E-4</v>
      </c>
      <c r="J2939" s="4">
        <f t="shared" si="1586"/>
        <v>3.8898841649015925E-4</v>
      </c>
      <c r="K2939" s="4">
        <f t="shared" si="1586"/>
        <v>3.8898841649015925E-4</v>
      </c>
      <c r="L2939" s="4">
        <f t="shared" si="1586"/>
        <v>3.8898841649015925E-4</v>
      </c>
      <c r="M2939" s="4">
        <f t="shared" si="1586"/>
        <v>3.8898841649015925E-4</v>
      </c>
      <c r="N2939" t="s">
        <v>256</v>
      </c>
      <c r="O2939" t="s">
        <v>354</v>
      </c>
      <c r="P2939" t="s">
        <v>424</v>
      </c>
      <c r="Q2939" s="4" t="s">
        <v>245</v>
      </c>
    </row>
    <row r="2940" spans="1:17" x14ac:dyDescent="0.25">
      <c r="A2940" t="s">
        <v>424</v>
      </c>
      <c r="B2940" t="s">
        <v>177</v>
      </c>
      <c r="C2940" s="4">
        <f t="shared" ref="C2940:M2940" si="1587">(0.0900940072589024/(0.0900940072589024+0.00396421732885982+0.0572052587068733+0.752028927432513)) * 0.119818625851367%</f>
        <v>1.1950659630268416E-4</v>
      </c>
      <c r="D2940" s="4">
        <f t="shared" si="1587"/>
        <v>1.1950659630268416E-4</v>
      </c>
      <c r="E2940" s="4">
        <f t="shared" si="1587"/>
        <v>1.1950659630268416E-4</v>
      </c>
      <c r="F2940" s="4">
        <f t="shared" si="1587"/>
        <v>1.1950659630268416E-4</v>
      </c>
      <c r="G2940" s="4">
        <f t="shared" si="1587"/>
        <v>1.1950659630268416E-4</v>
      </c>
      <c r="H2940" s="4">
        <f t="shared" si="1587"/>
        <v>1.1950659630268416E-4</v>
      </c>
      <c r="I2940" s="4">
        <f t="shared" si="1587"/>
        <v>1.1950659630268416E-4</v>
      </c>
      <c r="J2940" s="4">
        <f t="shared" si="1587"/>
        <v>1.1950659630268416E-4</v>
      </c>
      <c r="K2940" s="4">
        <f t="shared" si="1587"/>
        <v>1.1950659630268416E-4</v>
      </c>
      <c r="L2940" s="4">
        <f t="shared" si="1587"/>
        <v>1.1950659630268416E-4</v>
      </c>
      <c r="M2940" s="4">
        <f t="shared" si="1587"/>
        <v>1.1950659630268416E-4</v>
      </c>
      <c r="N2940" t="s">
        <v>242</v>
      </c>
      <c r="O2940" t="s">
        <v>358</v>
      </c>
      <c r="P2940" t="s">
        <v>424</v>
      </c>
      <c r="Q2940" s="4" t="s">
        <v>245</v>
      </c>
    </row>
    <row r="2941" spans="1:17" x14ac:dyDescent="0.25">
      <c r="A2941" t="s">
        <v>424</v>
      </c>
      <c r="B2941" t="s">
        <v>177</v>
      </c>
      <c r="C2941" s="4">
        <f t="shared" ref="C2941:M2941" si="1588">(0.00396421732885982/(0.0900940072589024+0.00396421732885982+0.0572052587068733+0.752028927432513))  * 0.119818625851367%</f>
        <v>5.258397693586253E-6</v>
      </c>
      <c r="D2941" s="4">
        <f t="shared" si="1588"/>
        <v>5.258397693586253E-6</v>
      </c>
      <c r="E2941" s="4">
        <f t="shared" si="1588"/>
        <v>5.258397693586253E-6</v>
      </c>
      <c r="F2941" s="4">
        <f t="shared" si="1588"/>
        <v>5.258397693586253E-6</v>
      </c>
      <c r="G2941" s="4">
        <f t="shared" si="1588"/>
        <v>5.258397693586253E-6</v>
      </c>
      <c r="H2941" s="4">
        <f t="shared" si="1588"/>
        <v>5.258397693586253E-6</v>
      </c>
      <c r="I2941" s="4">
        <f t="shared" si="1588"/>
        <v>5.258397693586253E-6</v>
      </c>
      <c r="J2941" s="4">
        <f t="shared" si="1588"/>
        <v>5.258397693586253E-6</v>
      </c>
      <c r="K2941" s="4">
        <f t="shared" si="1588"/>
        <v>5.258397693586253E-6</v>
      </c>
      <c r="L2941" s="4">
        <f t="shared" si="1588"/>
        <v>5.258397693586253E-6</v>
      </c>
      <c r="M2941" s="4">
        <f t="shared" si="1588"/>
        <v>5.258397693586253E-6</v>
      </c>
      <c r="N2941" t="s">
        <v>256</v>
      </c>
      <c r="O2941" t="s">
        <v>353</v>
      </c>
      <c r="P2941" t="s">
        <v>424</v>
      </c>
      <c r="Q2941" s="4" t="s">
        <v>245</v>
      </c>
    </row>
    <row r="2942" spans="1:17" x14ac:dyDescent="0.25">
      <c r="A2942" t="s">
        <v>424</v>
      </c>
      <c r="B2942" t="s">
        <v>177</v>
      </c>
      <c r="C2942" s="4">
        <f t="shared" ref="C2942:M2942" si="1589">(0.0572052587068733/(0.0900940072589024+0.00396421732885982+0.0572052587068733+0.752028927432513)) * 0.119818625851367%</f>
        <v>7.5880804580344527E-5</v>
      </c>
      <c r="D2942" s="4">
        <f t="shared" si="1589"/>
        <v>7.5880804580344527E-5</v>
      </c>
      <c r="E2942" s="4">
        <f t="shared" si="1589"/>
        <v>7.5880804580344527E-5</v>
      </c>
      <c r="F2942" s="4">
        <f t="shared" si="1589"/>
        <v>7.5880804580344527E-5</v>
      </c>
      <c r="G2942" s="4">
        <f t="shared" si="1589"/>
        <v>7.5880804580344527E-5</v>
      </c>
      <c r="H2942" s="4">
        <f t="shared" si="1589"/>
        <v>7.5880804580344527E-5</v>
      </c>
      <c r="I2942" s="4">
        <f t="shared" si="1589"/>
        <v>7.5880804580344527E-5</v>
      </c>
      <c r="J2942" s="4">
        <f t="shared" si="1589"/>
        <v>7.5880804580344527E-5</v>
      </c>
      <c r="K2942" s="4">
        <f t="shared" si="1589"/>
        <v>7.5880804580344527E-5</v>
      </c>
      <c r="L2942" s="4">
        <f t="shared" si="1589"/>
        <v>7.5880804580344527E-5</v>
      </c>
      <c r="M2942" s="4">
        <f t="shared" si="1589"/>
        <v>7.5880804580344527E-5</v>
      </c>
      <c r="N2942" t="s">
        <v>256</v>
      </c>
      <c r="O2942" t="s">
        <v>280</v>
      </c>
      <c r="P2942" t="s">
        <v>424</v>
      </c>
      <c r="Q2942" s="4" t="s">
        <v>245</v>
      </c>
    </row>
    <row r="2943" spans="1:17" x14ac:dyDescent="0.25">
      <c r="A2943" t="s">
        <v>424</v>
      </c>
      <c r="B2943" t="s">
        <v>177</v>
      </c>
      <c r="C2943" s="4">
        <f t="shared" ref="C2943:M2943" si="1590">(0.752028927432513/(0.0900940072589024+0.00396421732885982+0.0572052587068733+0.752028927432513)) * 0.119818625851367%</f>
        <v>9.9754045993705512E-4</v>
      </c>
      <c r="D2943" s="4">
        <f t="shared" si="1590"/>
        <v>9.9754045993705512E-4</v>
      </c>
      <c r="E2943" s="4">
        <f t="shared" si="1590"/>
        <v>9.9754045993705512E-4</v>
      </c>
      <c r="F2943" s="4">
        <f t="shared" si="1590"/>
        <v>9.9754045993705512E-4</v>
      </c>
      <c r="G2943" s="4">
        <f t="shared" si="1590"/>
        <v>9.9754045993705512E-4</v>
      </c>
      <c r="H2943" s="4">
        <f t="shared" si="1590"/>
        <v>9.9754045993705512E-4</v>
      </c>
      <c r="I2943" s="4">
        <f t="shared" si="1590"/>
        <v>9.9754045993705512E-4</v>
      </c>
      <c r="J2943" s="4">
        <f t="shared" si="1590"/>
        <v>9.9754045993705512E-4</v>
      </c>
      <c r="K2943" s="4">
        <f t="shared" si="1590"/>
        <v>9.9754045993705512E-4</v>
      </c>
      <c r="L2943" s="4">
        <f t="shared" si="1590"/>
        <v>9.9754045993705512E-4</v>
      </c>
      <c r="M2943" s="4">
        <f t="shared" si="1590"/>
        <v>9.9754045993705512E-4</v>
      </c>
      <c r="N2943" t="s">
        <v>256</v>
      </c>
      <c r="O2943" t="s">
        <v>354</v>
      </c>
      <c r="P2943" t="s">
        <v>424</v>
      </c>
      <c r="Q2943" s="4" t="s">
        <v>245</v>
      </c>
    </row>
    <row r="2944" spans="1:17" x14ac:dyDescent="0.25">
      <c r="A2944" t="s">
        <v>424</v>
      </c>
      <c r="B2944" t="s">
        <v>155</v>
      </c>
      <c r="C2944" s="4">
        <v>4.0471692441411047E-3</v>
      </c>
      <c r="D2944" s="4">
        <v>4.0471692441411047E-3</v>
      </c>
      <c r="E2944" s="4">
        <v>4.0471692441411047E-3</v>
      </c>
      <c r="F2944" s="4">
        <v>4.0471692441411047E-3</v>
      </c>
      <c r="G2944" s="4">
        <v>4.0471692441411047E-3</v>
      </c>
      <c r="H2944" s="4">
        <v>4.0471692441411047E-3</v>
      </c>
      <c r="I2944" s="4">
        <v>4.0471692441411047E-3</v>
      </c>
      <c r="J2944" s="4">
        <v>4.0471692441411047E-3</v>
      </c>
      <c r="K2944" s="4">
        <v>4.0471692441411047E-3</v>
      </c>
      <c r="L2944" s="4">
        <v>4.0471692441411047E-3</v>
      </c>
      <c r="M2944" s="4">
        <v>4.0471692441411047E-3</v>
      </c>
      <c r="N2944" t="s">
        <v>355</v>
      </c>
      <c r="O2944" t="s">
        <v>353</v>
      </c>
      <c r="P2944" t="s">
        <v>424</v>
      </c>
      <c r="Q2944" s="4" t="s">
        <v>245</v>
      </c>
    </row>
    <row r="2945" spans="1:17" x14ac:dyDescent="0.25">
      <c r="A2945" t="s">
        <v>424</v>
      </c>
      <c r="B2945" t="s">
        <v>146</v>
      </c>
      <c r="C2945" s="4">
        <f t="shared" ref="C2945:M2945" si="1591">(0.0900940072589024/(0.0900940072589024+0.00396421732885982+0.0572052587068733+0.752028927432513)) * 13.5565766902027%</f>
        <v>1.3521272892681473E-2</v>
      </c>
      <c r="D2945" s="4">
        <f t="shared" si="1591"/>
        <v>1.3521272892681473E-2</v>
      </c>
      <c r="E2945" s="4">
        <f t="shared" si="1591"/>
        <v>1.3521272892681473E-2</v>
      </c>
      <c r="F2945" s="4">
        <f t="shared" si="1591"/>
        <v>1.3521272892681473E-2</v>
      </c>
      <c r="G2945" s="4">
        <f t="shared" si="1591"/>
        <v>1.3521272892681473E-2</v>
      </c>
      <c r="H2945" s="4">
        <f t="shared" si="1591"/>
        <v>1.3521272892681473E-2</v>
      </c>
      <c r="I2945" s="4">
        <f t="shared" si="1591"/>
        <v>1.3521272892681473E-2</v>
      </c>
      <c r="J2945" s="4">
        <f t="shared" si="1591"/>
        <v>1.3521272892681473E-2</v>
      </c>
      <c r="K2945" s="4">
        <f t="shared" si="1591"/>
        <v>1.3521272892681473E-2</v>
      </c>
      <c r="L2945" s="4">
        <f t="shared" si="1591"/>
        <v>1.3521272892681473E-2</v>
      </c>
      <c r="M2945" s="4">
        <f t="shared" si="1591"/>
        <v>1.3521272892681473E-2</v>
      </c>
      <c r="N2945" t="s">
        <v>242</v>
      </c>
      <c r="O2945" t="s">
        <v>358</v>
      </c>
      <c r="P2945" t="s">
        <v>424</v>
      </c>
      <c r="Q2945" s="4" t="s">
        <v>245</v>
      </c>
    </row>
    <row r="2946" spans="1:17" x14ac:dyDescent="0.25">
      <c r="A2946" t="s">
        <v>424</v>
      </c>
      <c r="B2946" t="s">
        <v>146</v>
      </c>
      <c r="C2946" s="4">
        <f t="shared" ref="C2946:M2946" si="1592">(0.00396421732885982/(0.0900940072589024+0.00396421732885982+0.0572052587068733+0.752028927432513))  * 13.5565766902027%</f>
        <v>5.9494816514684421E-4</v>
      </c>
      <c r="D2946" s="4">
        <f t="shared" si="1592"/>
        <v>5.9494816514684421E-4</v>
      </c>
      <c r="E2946" s="4">
        <f t="shared" si="1592"/>
        <v>5.9494816514684421E-4</v>
      </c>
      <c r="F2946" s="4">
        <f t="shared" si="1592"/>
        <v>5.9494816514684421E-4</v>
      </c>
      <c r="G2946" s="4">
        <f t="shared" si="1592"/>
        <v>5.9494816514684421E-4</v>
      </c>
      <c r="H2946" s="4">
        <f t="shared" si="1592"/>
        <v>5.9494816514684421E-4</v>
      </c>
      <c r="I2946" s="4">
        <f t="shared" si="1592"/>
        <v>5.9494816514684421E-4</v>
      </c>
      <c r="J2946" s="4">
        <f t="shared" si="1592"/>
        <v>5.9494816514684421E-4</v>
      </c>
      <c r="K2946" s="4">
        <f t="shared" si="1592"/>
        <v>5.9494816514684421E-4</v>
      </c>
      <c r="L2946" s="4">
        <f t="shared" si="1592"/>
        <v>5.9494816514684421E-4</v>
      </c>
      <c r="M2946" s="4">
        <f t="shared" si="1592"/>
        <v>5.9494816514684421E-4</v>
      </c>
      <c r="N2946" t="s">
        <v>256</v>
      </c>
      <c r="O2946" t="s">
        <v>353</v>
      </c>
      <c r="P2946" t="s">
        <v>424</v>
      </c>
      <c r="Q2946" s="4" t="s">
        <v>245</v>
      </c>
    </row>
    <row r="2947" spans="1:17" x14ac:dyDescent="0.25">
      <c r="A2947" t="s">
        <v>424</v>
      </c>
      <c r="B2947" t="s">
        <v>146</v>
      </c>
      <c r="C2947" s="4">
        <f t="shared" ref="C2947:M2947" si="1593">(0.0572052587068733/(0.0900940072589024+0.00396421732885982+0.0572052587068733+0.752028927432513)) * 13.5565766902027%</f>
        <v>8.5853425483596365E-3</v>
      </c>
      <c r="D2947" s="4">
        <f t="shared" si="1593"/>
        <v>8.5853425483596365E-3</v>
      </c>
      <c r="E2947" s="4">
        <f t="shared" si="1593"/>
        <v>8.5853425483596365E-3</v>
      </c>
      <c r="F2947" s="4">
        <f t="shared" si="1593"/>
        <v>8.5853425483596365E-3</v>
      </c>
      <c r="G2947" s="4">
        <f t="shared" si="1593"/>
        <v>8.5853425483596365E-3</v>
      </c>
      <c r="H2947" s="4">
        <f t="shared" si="1593"/>
        <v>8.5853425483596365E-3</v>
      </c>
      <c r="I2947" s="4">
        <f t="shared" si="1593"/>
        <v>8.5853425483596365E-3</v>
      </c>
      <c r="J2947" s="4">
        <f t="shared" si="1593"/>
        <v>8.5853425483596365E-3</v>
      </c>
      <c r="K2947" s="4">
        <f t="shared" si="1593"/>
        <v>8.5853425483596365E-3</v>
      </c>
      <c r="L2947" s="4">
        <f t="shared" si="1593"/>
        <v>8.5853425483596365E-3</v>
      </c>
      <c r="M2947" s="4">
        <f t="shared" si="1593"/>
        <v>8.5853425483596365E-3</v>
      </c>
      <c r="N2947" t="s">
        <v>256</v>
      </c>
      <c r="O2947" t="s">
        <v>280</v>
      </c>
      <c r="P2947" t="s">
        <v>424</v>
      </c>
      <c r="Q2947" s="4" t="s">
        <v>245</v>
      </c>
    </row>
    <row r="2948" spans="1:17" x14ac:dyDescent="0.25">
      <c r="A2948" t="s">
        <v>424</v>
      </c>
      <c r="B2948" t="s">
        <v>146</v>
      </c>
      <c r="C2948" s="4">
        <f t="shared" ref="C2948:M2948" si="1594">(0.752028927432513/(0.0900940072589024+0.00396421732885982+0.0572052587068733+0.752028927432513)) * 13.5565766902027%</f>
        <v>0.11286420329583907</v>
      </c>
      <c r="D2948" s="4">
        <f t="shared" si="1594"/>
        <v>0.11286420329583907</v>
      </c>
      <c r="E2948" s="4">
        <f t="shared" si="1594"/>
        <v>0.11286420329583907</v>
      </c>
      <c r="F2948" s="4">
        <f t="shared" si="1594"/>
        <v>0.11286420329583907</v>
      </c>
      <c r="G2948" s="4">
        <f t="shared" si="1594"/>
        <v>0.11286420329583907</v>
      </c>
      <c r="H2948" s="4">
        <f t="shared" si="1594"/>
        <v>0.11286420329583907</v>
      </c>
      <c r="I2948" s="4">
        <f t="shared" si="1594"/>
        <v>0.11286420329583907</v>
      </c>
      <c r="J2948" s="4">
        <f t="shared" si="1594"/>
        <v>0.11286420329583907</v>
      </c>
      <c r="K2948" s="4">
        <f t="shared" si="1594"/>
        <v>0.11286420329583907</v>
      </c>
      <c r="L2948" s="4">
        <f t="shared" si="1594"/>
        <v>0.11286420329583907</v>
      </c>
      <c r="M2948" s="4">
        <f t="shared" si="1594"/>
        <v>0.11286420329583907</v>
      </c>
      <c r="N2948" t="s">
        <v>256</v>
      </c>
      <c r="O2948" t="s">
        <v>354</v>
      </c>
      <c r="P2948" t="s">
        <v>424</v>
      </c>
      <c r="Q2948" s="4" t="s">
        <v>245</v>
      </c>
    </row>
    <row r="2949" spans="1:17" x14ac:dyDescent="0.25">
      <c r="A2949" t="s">
        <v>424</v>
      </c>
      <c r="B2949" t="s">
        <v>156</v>
      </c>
      <c r="C2949" s="4">
        <f t="shared" ref="C2949:M2949" si="1595">(0.0900940072589024/(0.0900940072589024+0.00396421732885982+0.0572052587068733+0.752028927432513)) * 0.108380069028821%</f>
        <v>1.0809782756773773E-4</v>
      </c>
      <c r="D2949" s="4">
        <f t="shared" si="1595"/>
        <v>1.0809782756773773E-4</v>
      </c>
      <c r="E2949" s="4">
        <f t="shared" si="1595"/>
        <v>1.0809782756773773E-4</v>
      </c>
      <c r="F2949" s="4">
        <f t="shared" si="1595"/>
        <v>1.0809782756773773E-4</v>
      </c>
      <c r="G2949" s="4">
        <f t="shared" si="1595"/>
        <v>1.0809782756773773E-4</v>
      </c>
      <c r="H2949" s="4">
        <f t="shared" si="1595"/>
        <v>1.0809782756773773E-4</v>
      </c>
      <c r="I2949" s="4">
        <f t="shared" si="1595"/>
        <v>1.0809782756773773E-4</v>
      </c>
      <c r="J2949" s="4">
        <f t="shared" si="1595"/>
        <v>1.0809782756773773E-4</v>
      </c>
      <c r="K2949" s="4">
        <f t="shared" si="1595"/>
        <v>1.0809782756773773E-4</v>
      </c>
      <c r="L2949" s="4">
        <f t="shared" si="1595"/>
        <v>1.0809782756773773E-4</v>
      </c>
      <c r="M2949" s="4">
        <f t="shared" si="1595"/>
        <v>1.0809782756773773E-4</v>
      </c>
      <c r="N2949" t="s">
        <v>242</v>
      </c>
      <c r="O2949" t="s">
        <v>358</v>
      </c>
      <c r="P2949" t="s">
        <v>424</v>
      </c>
      <c r="Q2949" s="4" t="s">
        <v>245</v>
      </c>
    </row>
    <row r="2950" spans="1:17" x14ac:dyDescent="0.25">
      <c r="A2950" t="s">
        <v>424</v>
      </c>
      <c r="B2950" t="s">
        <v>156</v>
      </c>
      <c r="C2950" s="4">
        <f t="shared" ref="C2950:M2950" si="1596">(0.00396421732885982/(0.0900940072589024+0.00396421732885982+0.0572052587068733+0.752028927432513))  * 0.108380069028821%</f>
        <v>4.7564016108716643E-6</v>
      </c>
      <c r="D2950" s="4">
        <f t="shared" si="1596"/>
        <v>4.7564016108716643E-6</v>
      </c>
      <c r="E2950" s="4">
        <f t="shared" si="1596"/>
        <v>4.7564016108716643E-6</v>
      </c>
      <c r="F2950" s="4">
        <f t="shared" si="1596"/>
        <v>4.7564016108716643E-6</v>
      </c>
      <c r="G2950" s="4">
        <f t="shared" si="1596"/>
        <v>4.7564016108716643E-6</v>
      </c>
      <c r="H2950" s="4">
        <f t="shared" si="1596"/>
        <v>4.7564016108716643E-6</v>
      </c>
      <c r="I2950" s="4">
        <f t="shared" si="1596"/>
        <v>4.7564016108716643E-6</v>
      </c>
      <c r="J2950" s="4">
        <f t="shared" si="1596"/>
        <v>4.7564016108716643E-6</v>
      </c>
      <c r="K2950" s="4">
        <f t="shared" si="1596"/>
        <v>4.7564016108716643E-6</v>
      </c>
      <c r="L2950" s="4">
        <f t="shared" si="1596"/>
        <v>4.7564016108716643E-6</v>
      </c>
      <c r="M2950" s="4">
        <f t="shared" si="1596"/>
        <v>4.7564016108716643E-6</v>
      </c>
      <c r="N2950" t="s">
        <v>256</v>
      </c>
      <c r="O2950" t="s">
        <v>353</v>
      </c>
      <c r="P2950" t="s">
        <v>424</v>
      </c>
      <c r="Q2950" s="4" t="s">
        <v>245</v>
      </c>
    </row>
    <row r="2951" spans="1:17" x14ac:dyDescent="0.25">
      <c r="A2951" t="s">
        <v>424</v>
      </c>
      <c r="B2951" t="s">
        <v>156</v>
      </c>
      <c r="C2951" s="4">
        <f t="shared" ref="C2951:M2951" si="1597">(0.0572052587068733/(0.0900940072589024+0.00396421732885982+0.0572052587068733+0.752028927432513)) * 0.108380069028821%</f>
        <v>6.8636798160094995E-5</v>
      </c>
      <c r="D2951" s="4">
        <f t="shared" si="1597"/>
        <v>6.8636798160094995E-5</v>
      </c>
      <c r="E2951" s="4">
        <f t="shared" si="1597"/>
        <v>6.8636798160094995E-5</v>
      </c>
      <c r="F2951" s="4">
        <f t="shared" si="1597"/>
        <v>6.8636798160094995E-5</v>
      </c>
      <c r="G2951" s="4">
        <f t="shared" si="1597"/>
        <v>6.8636798160094995E-5</v>
      </c>
      <c r="H2951" s="4">
        <f t="shared" si="1597"/>
        <v>6.8636798160094995E-5</v>
      </c>
      <c r="I2951" s="4">
        <f t="shared" si="1597"/>
        <v>6.8636798160094995E-5</v>
      </c>
      <c r="J2951" s="4">
        <f t="shared" si="1597"/>
        <v>6.8636798160094995E-5</v>
      </c>
      <c r="K2951" s="4">
        <f t="shared" si="1597"/>
        <v>6.8636798160094995E-5</v>
      </c>
      <c r="L2951" s="4">
        <f t="shared" si="1597"/>
        <v>6.8636798160094995E-5</v>
      </c>
      <c r="M2951" s="4">
        <f t="shared" si="1597"/>
        <v>6.8636798160094995E-5</v>
      </c>
      <c r="N2951" t="s">
        <v>256</v>
      </c>
      <c r="O2951" t="s">
        <v>280</v>
      </c>
      <c r="P2951" t="s">
        <v>424</v>
      </c>
      <c r="Q2951" s="4" t="s">
        <v>245</v>
      </c>
    </row>
    <row r="2952" spans="1:17" x14ac:dyDescent="0.25">
      <c r="A2952" t="s">
        <v>424</v>
      </c>
      <c r="B2952" t="s">
        <v>156</v>
      </c>
      <c r="C2952" s="4">
        <f t="shared" ref="C2952:M2952" si="1598">(0.752028927432513/(0.0900940072589024+0.00396421732885982+0.0572052587068733+0.752028927432513)) * 0.108380069028821%</f>
        <v>9.0230966294950574E-4</v>
      </c>
      <c r="D2952" s="4">
        <f t="shared" si="1598"/>
        <v>9.0230966294950574E-4</v>
      </c>
      <c r="E2952" s="4">
        <f t="shared" si="1598"/>
        <v>9.0230966294950574E-4</v>
      </c>
      <c r="F2952" s="4">
        <f t="shared" si="1598"/>
        <v>9.0230966294950574E-4</v>
      </c>
      <c r="G2952" s="4">
        <f t="shared" si="1598"/>
        <v>9.0230966294950574E-4</v>
      </c>
      <c r="H2952" s="4">
        <f t="shared" si="1598"/>
        <v>9.0230966294950574E-4</v>
      </c>
      <c r="I2952" s="4">
        <f t="shared" si="1598"/>
        <v>9.0230966294950574E-4</v>
      </c>
      <c r="J2952" s="4">
        <f t="shared" si="1598"/>
        <v>9.0230966294950574E-4</v>
      </c>
      <c r="K2952" s="4">
        <f t="shared" si="1598"/>
        <v>9.0230966294950574E-4</v>
      </c>
      <c r="L2952" s="4">
        <f t="shared" si="1598"/>
        <v>9.0230966294950574E-4</v>
      </c>
      <c r="M2952" s="4">
        <f t="shared" si="1598"/>
        <v>9.0230966294950574E-4</v>
      </c>
      <c r="N2952" t="s">
        <v>256</v>
      </c>
      <c r="O2952" t="s">
        <v>354</v>
      </c>
      <c r="P2952" t="s">
        <v>424</v>
      </c>
      <c r="Q2952" s="4" t="s">
        <v>245</v>
      </c>
    </row>
    <row r="2953" spans="1:17" x14ac:dyDescent="0.25">
      <c r="A2953" t="s">
        <v>424</v>
      </c>
      <c r="B2953" t="s">
        <v>151</v>
      </c>
      <c r="C2953" s="4">
        <f t="shared" ref="C2953:M2953" si="1599">(0.0900940072589024/(0.0900940072589024+0.00396421732885982+0.0572052587068733+0.752028927432513)) * 5.4022338490161%</f>
        <v>5.3881654470643138E-3</v>
      </c>
      <c r="D2953" s="4">
        <f t="shared" si="1599"/>
        <v>5.3881654470643138E-3</v>
      </c>
      <c r="E2953" s="4">
        <f t="shared" si="1599"/>
        <v>5.3881654470643138E-3</v>
      </c>
      <c r="F2953" s="4">
        <f t="shared" si="1599"/>
        <v>5.3881654470643138E-3</v>
      </c>
      <c r="G2953" s="4">
        <f t="shared" si="1599"/>
        <v>5.3881654470643138E-3</v>
      </c>
      <c r="H2953" s="4">
        <f t="shared" si="1599"/>
        <v>5.3881654470643138E-3</v>
      </c>
      <c r="I2953" s="4">
        <f t="shared" si="1599"/>
        <v>5.3881654470643138E-3</v>
      </c>
      <c r="J2953" s="4">
        <f t="shared" si="1599"/>
        <v>5.3881654470643138E-3</v>
      </c>
      <c r="K2953" s="4">
        <f t="shared" si="1599"/>
        <v>5.3881654470643138E-3</v>
      </c>
      <c r="L2953" s="4">
        <f t="shared" si="1599"/>
        <v>5.3881654470643138E-3</v>
      </c>
      <c r="M2953" s="4">
        <f t="shared" si="1599"/>
        <v>5.3881654470643138E-3</v>
      </c>
      <c r="N2953" t="s">
        <v>242</v>
      </c>
      <c r="O2953" t="s">
        <v>358</v>
      </c>
      <c r="P2953" t="s">
        <v>424</v>
      </c>
      <c r="Q2953" s="4" t="s">
        <v>245</v>
      </c>
    </row>
    <row r="2954" spans="1:17" x14ac:dyDescent="0.25">
      <c r="A2954" t="s">
        <v>424</v>
      </c>
      <c r="B2954" t="s">
        <v>151</v>
      </c>
      <c r="C2954" s="4">
        <f t="shared" ref="C2954:M2954" si="1600">(0.00396421732885982/(0.0900940072589024+0.00396421732885982+0.0572052587068733+0.752028927432513))  * 5.4022338490161%</f>
        <v>2.3708412452600123E-4</v>
      </c>
      <c r="D2954" s="4">
        <f t="shared" si="1600"/>
        <v>2.3708412452600123E-4</v>
      </c>
      <c r="E2954" s="4">
        <f t="shared" si="1600"/>
        <v>2.3708412452600123E-4</v>
      </c>
      <c r="F2954" s="4">
        <f t="shared" si="1600"/>
        <v>2.3708412452600123E-4</v>
      </c>
      <c r="G2954" s="4">
        <f t="shared" si="1600"/>
        <v>2.3708412452600123E-4</v>
      </c>
      <c r="H2954" s="4">
        <f t="shared" si="1600"/>
        <v>2.3708412452600123E-4</v>
      </c>
      <c r="I2954" s="4">
        <f t="shared" si="1600"/>
        <v>2.3708412452600123E-4</v>
      </c>
      <c r="J2954" s="4">
        <f t="shared" si="1600"/>
        <v>2.3708412452600123E-4</v>
      </c>
      <c r="K2954" s="4">
        <f t="shared" si="1600"/>
        <v>2.3708412452600123E-4</v>
      </c>
      <c r="L2954" s="4">
        <f t="shared" si="1600"/>
        <v>2.3708412452600123E-4</v>
      </c>
      <c r="M2954" s="4">
        <f t="shared" si="1600"/>
        <v>2.3708412452600123E-4</v>
      </c>
      <c r="N2954" t="s">
        <v>256</v>
      </c>
      <c r="O2954" t="s">
        <v>353</v>
      </c>
      <c r="P2954" t="s">
        <v>424</v>
      </c>
      <c r="Q2954" s="4" t="s">
        <v>245</v>
      </c>
    </row>
    <row r="2955" spans="1:17" x14ac:dyDescent="0.25">
      <c r="A2955" t="s">
        <v>424</v>
      </c>
      <c r="B2955" t="s">
        <v>151</v>
      </c>
      <c r="C2955" s="4">
        <f t="shared" ref="C2955:M2955" si="1601">(0.0572052587068733/(0.0900940072589024+0.00396421732885982+0.0572052587068733+0.752028927432513)) * 5.4022338490161%</f>
        <v>3.42121976513918E-3</v>
      </c>
      <c r="D2955" s="4">
        <f t="shared" si="1601"/>
        <v>3.42121976513918E-3</v>
      </c>
      <c r="E2955" s="4">
        <f t="shared" si="1601"/>
        <v>3.42121976513918E-3</v>
      </c>
      <c r="F2955" s="4">
        <f t="shared" si="1601"/>
        <v>3.42121976513918E-3</v>
      </c>
      <c r="G2955" s="4">
        <f t="shared" si="1601"/>
        <v>3.42121976513918E-3</v>
      </c>
      <c r="H2955" s="4">
        <f t="shared" si="1601"/>
        <v>3.42121976513918E-3</v>
      </c>
      <c r="I2955" s="4">
        <f t="shared" si="1601"/>
        <v>3.42121976513918E-3</v>
      </c>
      <c r="J2955" s="4">
        <f t="shared" si="1601"/>
        <v>3.42121976513918E-3</v>
      </c>
      <c r="K2955" s="4">
        <f t="shared" si="1601"/>
        <v>3.42121976513918E-3</v>
      </c>
      <c r="L2955" s="4">
        <f t="shared" si="1601"/>
        <v>3.42121976513918E-3</v>
      </c>
      <c r="M2955" s="4">
        <f t="shared" si="1601"/>
        <v>3.42121976513918E-3</v>
      </c>
      <c r="N2955" t="s">
        <v>256</v>
      </c>
      <c r="O2955" t="s">
        <v>280</v>
      </c>
      <c r="P2955" t="s">
        <v>424</v>
      </c>
      <c r="Q2955" s="4" t="s">
        <v>245</v>
      </c>
    </row>
    <row r="2956" spans="1:17" x14ac:dyDescent="0.25">
      <c r="A2956" t="s">
        <v>424</v>
      </c>
      <c r="B2956" t="s">
        <v>151</v>
      </c>
      <c r="C2956" s="4">
        <f t="shared" ref="C2956:M2956" si="1602">(0.752028927432513/(0.0900940072589024+0.00396421732885982+0.0572052587068733+0.752028927432513)) * 5.4022338490161%</f>
        <v>4.4975869153431505E-2</v>
      </c>
      <c r="D2956" s="4">
        <f t="shared" si="1602"/>
        <v>4.4975869153431505E-2</v>
      </c>
      <c r="E2956" s="4">
        <f t="shared" si="1602"/>
        <v>4.4975869153431505E-2</v>
      </c>
      <c r="F2956" s="4">
        <f t="shared" si="1602"/>
        <v>4.4975869153431505E-2</v>
      </c>
      <c r="G2956" s="4">
        <f t="shared" si="1602"/>
        <v>4.4975869153431505E-2</v>
      </c>
      <c r="H2956" s="4">
        <f t="shared" si="1602"/>
        <v>4.4975869153431505E-2</v>
      </c>
      <c r="I2956" s="4">
        <f t="shared" si="1602"/>
        <v>4.4975869153431505E-2</v>
      </c>
      <c r="J2956" s="4">
        <f t="shared" si="1602"/>
        <v>4.4975869153431505E-2</v>
      </c>
      <c r="K2956" s="4">
        <f t="shared" si="1602"/>
        <v>4.4975869153431505E-2</v>
      </c>
      <c r="L2956" s="4">
        <f t="shared" si="1602"/>
        <v>4.4975869153431505E-2</v>
      </c>
      <c r="M2956" s="4">
        <f t="shared" si="1602"/>
        <v>4.4975869153431505E-2</v>
      </c>
      <c r="N2956" t="s">
        <v>256</v>
      </c>
      <c r="O2956" t="s">
        <v>354</v>
      </c>
      <c r="P2956" t="s">
        <v>424</v>
      </c>
      <c r="Q2956" s="4" t="s">
        <v>245</v>
      </c>
    </row>
    <row r="2957" spans="1:17" x14ac:dyDescent="0.25">
      <c r="A2957" t="s">
        <v>424</v>
      </c>
      <c r="B2957" t="s">
        <v>178</v>
      </c>
      <c r="C2957" s="4">
        <f t="shared" ref="C2957:M2957" si="1603">(0.0900940072589024/(0.0900940072589024+0.00396421732885982+0.0572052587068733+0.752028927432513)) * 0.308374274158766%</f>
        <v>3.0757121132185349E-4</v>
      </c>
      <c r="D2957" s="4">
        <f t="shared" si="1603"/>
        <v>3.0757121132185349E-4</v>
      </c>
      <c r="E2957" s="4">
        <f t="shared" si="1603"/>
        <v>3.0757121132185349E-4</v>
      </c>
      <c r="F2957" s="4">
        <f t="shared" si="1603"/>
        <v>3.0757121132185349E-4</v>
      </c>
      <c r="G2957" s="4">
        <f t="shared" si="1603"/>
        <v>3.0757121132185349E-4</v>
      </c>
      <c r="H2957" s="4">
        <f t="shared" si="1603"/>
        <v>3.0757121132185349E-4</v>
      </c>
      <c r="I2957" s="4">
        <f t="shared" si="1603"/>
        <v>3.0757121132185349E-4</v>
      </c>
      <c r="J2957" s="4">
        <f t="shared" si="1603"/>
        <v>3.0757121132185349E-4</v>
      </c>
      <c r="K2957" s="4">
        <f t="shared" si="1603"/>
        <v>3.0757121132185349E-4</v>
      </c>
      <c r="L2957" s="4">
        <f t="shared" si="1603"/>
        <v>3.0757121132185349E-4</v>
      </c>
      <c r="M2957" s="4">
        <f t="shared" si="1603"/>
        <v>3.0757121132185349E-4</v>
      </c>
      <c r="N2957" t="s">
        <v>242</v>
      </c>
      <c r="O2957" t="s">
        <v>358</v>
      </c>
      <c r="P2957" t="s">
        <v>424</v>
      </c>
      <c r="Q2957" s="4" t="s">
        <v>245</v>
      </c>
    </row>
    <row r="2958" spans="1:17" x14ac:dyDescent="0.25">
      <c r="A2958" t="s">
        <v>424</v>
      </c>
      <c r="B2958" t="s">
        <v>178</v>
      </c>
      <c r="C2958" s="4">
        <f t="shared" ref="C2958:M2958" si="1604">(0.00396421732885982/(0.0900940072589024+0.00396421732885982+0.0572052587068733+0.752028927432513))  * 0.308374274158766%</f>
        <v>1.3533409855737298E-5</v>
      </c>
      <c r="D2958" s="4">
        <f t="shared" si="1604"/>
        <v>1.3533409855737298E-5</v>
      </c>
      <c r="E2958" s="4">
        <f t="shared" si="1604"/>
        <v>1.3533409855737298E-5</v>
      </c>
      <c r="F2958" s="4">
        <f t="shared" si="1604"/>
        <v>1.3533409855737298E-5</v>
      </c>
      <c r="G2958" s="4">
        <f t="shared" si="1604"/>
        <v>1.3533409855737298E-5</v>
      </c>
      <c r="H2958" s="4">
        <f t="shared" si="1604"/>
        <v>1.3533409855737298E-5</v>
      </c>
      <c r="I2958" s="4">
        <f t="shared" si="1604"/>
        <v>1.3533409855737298E-5</v>
      </c>
      <c r="J2958" s="4">
        <f t="shared" si="1604"/>
        <v>1.3533409855737298E-5</v>
      </c>
      <c r="K2958" s="4">
        <f t="shared" si="1604"/>
        <v>1.3533409855737298E-5</v>
      </c>
      <c r="L2958" s="4">
        <f t="shared" si="1604"/>
        <v>1.3533409855737298E-5</v>
      </c>
      <c r="M2958" s="4">
        <f t="shared" si="1604"/>
        <v>1.3533409855737298E-5</v>
      </c>
      <c r="N2958" t="s">
        <v>256</v>
      </c>
      <c r="O2958" t="s">
        <v>353</v>
      </c>
      <c r="P2958" t="s">
        <v>424</v>
      </c>
      <c r="Q2958" s="4" t="s">
        <v>245</v>
      </c>
    </row>
    <row r="2959" spans="1:17" x14ac:dyDescent="0.25">
      <c r="A2959" t="s">
        <v>424</v>
      </c>
      <c r="B2959" t="s">
        <v>178</v>
      </c>
      <c r="C2959" s="4">
        <f t="shared" ref="C2959:M2959" si="1605">(0.0572052587068733/(0.0900940072589024+0.00396421732885982+0.0572052587068733+0.752028927432513)) * 0.308374274158766%</f>
        <v>1.952925754971838E-4</v>
      </c>
      <c r="D2959" s="4">
        <f t="shared" si="1605"/>
        <v>1.952925754971838E-4</v>
      </c>
      <c r="E2959" s="4">
        <f t="shared" si="1605"/>
        <v>1.952925754971838E-4</v>
      </c>
      <c r="F2959" s="4">
        <f t="shared" si="1605"/>
        <v>1.952925754971838E-4</v>
      </c>
      <c r="G2959" s="4">
        <f t="shared" si="1605"/>
        <v>1.952925754971838E-4</v>
      </c>
      <c r="H2959" s="4">
        <f t="shared" si="1605"/>
        <v>1.952925754971838E-4</v>
      </c>
      <c r="I2959" s="4">
        <f t="shared" si="1605"/>
        <v>1.952925754971838E-4</v>
      </c>
      <c r="J2959" s="4">
        <f t="shared" si="1605"/>
        <v>1.952925754971838E-4</v>
      </c>
      <c r="K2959" s="4">
        <f t="shared" si="1605"/>
        <v>1.952925754971838E-4</v>
      </c>
      <c r="L2959" s="4">
        <f t="shared" si="1605"/>
        <v>1.952925754971838E-4</v>
      </c>
      <c r="M2959" s="4">
        <f t="shared" si="1605"/>
        <v>1.952925754971838E-4</v>
      </c>
      <c r="N2959" t="s">
        <v>256</v>
      </c>
      <c r="O2959" t="s">
        <v>280</v>
      </c>
      <c r="P2959" t="s">
        <v>424</v>
      </c>
      <c r="Q2959" s="4" t="s">
        <v>245</v>
      </c>
    </row>
    <row r="2960" spans="1:17" x14ac:dyDescent="0.25">
      <c r="A2960" t="s">
        <v>424</v>
      </c>
      <c r="B2960" t="s">
        <v>178</v>
      </c>
      <c r="C2960" s="4">
        <f t="shared" ref="C2960:M2960" si="1606">(0.752028927432513/(0.0900940072589024+0.00396421732885982+0.0572052587068733+0.752028927432513)) * 0.308374274158766%</f>
        <v>2.5673455449128856E-3</v>
      </c>
      <c r="D2960" s="4">
        <f t="shared" si="1606"/>
        <v>2.5673455449128856E-3</v>
      </c>
      <c r="E2960" s="4">
        <f t="shared" si="1606"/>
        <v>2.5673455449128856E-3</v>
      </c>
      <c r="F2960" s="4">
        <f t="shared" si="1606"/>
        <v>2.5673455449128856E-3</v>
      </c>
      <c r="G2960" s="4">
        <f t="shared" si="1606"/>
        <v>2.5673455449128856E-3</v>
      </c>
      <c r="H2960" s="4">
        <f t="shared" si="1606"/>
        <v>2.5673455449128856E-3</v>
      </c>
      <c r="I2960" s="4">
        <f t="shared" si="1606"/>
        <v>2.5673455449128856E-3</v>
      </c>
      <c r="J2960" s="4">
        <f t="shared" si="1606"/>
        <v>2.5673455449128856E-3</v>
      </c>
      <c r="K2960" s="4">
        <f t="shared" si="1606"/>
        <v>2.5673455449128856E-3</v>
      </c>
      <c r="L2960" s="4">
        <f t="shared" si="1606"/>
        <v>2.5673455449128856E-3</v>
      </c>
      <c r="M2960" s="4">
        <f t="shared" si="1606"/>
        <v>2.5673455449128856E-3</v>
      </c>
      <c r="N2960" t="s">
        <v>256</v>
      </c>
      <c r="O2960" t="s">
        <v>354</v>
      </c>
      <c r="P2960" t="s">
        <v>424</v>
      </c>
      <c r="Q2960" s="4" t="s">
        <v>245</v>
      </c>
    </row>
    <row r="2961" spans="1:17" x14ac:dyDescent="0.25">
      <c r="A2961" t="s">
        <v>424</v>
      </c>
      <c r="B2961" t="s">
        <v>120</v>
      </c>
      <c r="C2961" s="4">
        <f t="shared" ref="C2961:M2961" si="1607">(0.0900940072589024/(0.0900940072589024+0.00396421732885982+0.0572052587068733+0.752028927432513)) * 0.0660509504702417%</f>
        <v>6.5878941751907125E-5</v>
      </c>
      <c r="D2961" s="4">
        <f t="shared" si="1607"/>
        <v>6.5878941751907125E-5</v>
      </c>
      <c r="E2961" s="4">
        <f t="shared" si="1607"/>
        <v>6.5878941751907125E-5</v>
      </c>
      <c r="F2961" s="4">
        <f t="shared" si="1607"/>
        <v>6.5878941751907125E-5</v>
      </c>
      <c r="G2961" s="4">
        <f t="shared" si="1607"/>
        <v>6.5878941751907125E-5</v>
      </c>
      <c r="H2961" s="4">
        <f t="shared" si="1607"/>
        <v>6.5878941751907125E-5</v>
      </c>
      <c r="I2961" s="4">
        <f t="shared" si="1607"/>
        <v>6.5878941751907125E-5</v>
      </c>
      <c r="J2961" s="4">
        <f t="shared" si="1607"/>
        <v>6.5878941751907125E-5</v>
      </c>
      <c r="K2961" s="4">
        <f t="shared" si="1607"/>
        <v>6.5878941751907125E-5</v>
      </c>
      <c r="L2961" s="4">
        <f t="shared" si="1607"/>
        <v>6.5878941751907125E-5</v>
      </c>
      <c r="M2961" s="4">
        <f t="shared" si="1607"/>
        <v>6.5878941751907125E-5</v>
      </c>
      <c r="N2961" t="s">
        <v>242</v>
      </c>
      <c r="O2961" t="s">
        <v>358</v>
      </c>
      <c r="P2961" t="s">
        <v>424</v>
      </c>
      <c r="Q2961" s="4" t="s">
        <v>245</v>
      </c>
    </row>
    <row r="2962" spans="1:17" x14ac:dyDescent="0.25">
      <c r="A2962" t="s">
        <v>424</v>
      </c>
      <c r="B2962" t="s">
        <v>120</v>
      </c>
      <c r="C2962" s="4">
        <f t="shared" ref="C2962:M2962" si="1608">(0.00396421732885982/(0.0900940072589024+0.00396421732885982+0.0572052587068733+0.752028927432513))  * 0.0660509504702417%</f>
        <v>2.8987326731884412E-6</v>
      </c>
      <c r="D2962" s="4">
        <f t="shared" si="1608"/>
        <v>2.8987326731884412E-6</v>
      </c>
      <c r="E2962" s="4">
        <f t="shared" si="1608"/>
        <v>2.8987326731884412E-6</v>
      </c>
      <c r="F2962" s="4">
        <f t="shared" si="1608"/>
        <v>2.8987326731884412E-6</v>
      </c>
      <c r="G2962" s="4">
        <f t="shared" si="1608"/>
        <v>2.8987326731884412E-6</v>
      </c>
      <c r="H2962" s="4">
        <f t="shared" si="1608"/>
        <v>2.8987326731884412E-6</v>
      </c>
      <c r="I2962" s="4">
        <f t="shared" si="1608"/>
        <v>2.8987326731884412E-6</v>
      </c>
      <c r="J2962" s="4">
        <f t="shared" si="1608"/>
        <v>2.8987326731884412E-6</v>
      </c>
      <c r="K2962" s="4">
        <f t="shared" si="1608"/>
        <v>2.8987326731884412E-6</v>
      </c>
      <c r="L2962" s="4">
        <f t="shared" si="1608"/>
        <v>2.8987326731884412E-6</v>
      </c>
      <c r="M2962" s="4">
        <f t="shared" si="1608"/>
        <v>2.8987326731884412E-6</v>
      </c>
      <c r="N2962" t="s">
        <v>256</v>
      </c>
      <c r="O2962" t="s">
        <v>353</v>
      </c>
      <c r="P2962" t="s">
        <v>424</v>
      </c>
      <c r="Q2962" s="4" t="s">
        <v>245</v>
      </c>
    </row>
    <row r="2963" spans="1:17" x14ac:dyDescent="0.25">
      <c r="A2963" t="s">
        <v>424</v>
      </c>
      <c r="B2963" t="s">
        <v>120</v>
      </c>
      <c r="C2963" s="4">
        <f t="shared" ref="C2963:M2963" si="1609">(0.0572052587068733/(0.0900940072589024+0.00396421732885982+0.0572052587068733+0.752028927432513)) * 0.0660509504702417%</f>
        <v>4.1829884372031833E-5</v>
      </c>
      <c r="D2963" s="4">
        <f t="shared" si="1609"/>
        <v>4.1829884372031833E-5</v>
      </c>
      <c r="E2963" s="4">
        <f t="shared" si="1609"/>
        <v>4.1829884372031833E-5</v>
      </c>
      <c r="F2963" s="4">
        <f t="shared" si="1609"/>
        <v>4.1829884372031833E-5</v>
      </c>
      <c r="G2963" s="4">
        <f t="shared" si="1609"/>
        <v>4.1829884372031833E-5</v>
      </c>
      <c r="H2963" s="4">
        <f t="shared" si="1609"/>
        <v>4.1829884372031833E-5</v>
      </c>
      <c r="I2963" s="4">
        <f t="shared" si="1609"/>
        <v>4.1829884372031833E-5</v>
      </c>
      <c r="J2963" s="4">
        <f t="shared" si="1609"/>
        <v>4.1829884372031833E-5</v>
      </c>
      <c r="K2963" s="4">
        <f t="shared" si="1609"/>
        <v>4.1829884372031833E-5</v>
      </c>
      <c r="L2963" s="4">
        <f t="shared" si="1609"/>
        <v>4.1829884372031833E-5</v>
      </c>
      <c r="M2963" s="4">
        <f t="shared" si="1609"/>
        <v>4.1829884372031833E-5</v>
      </c>
      <c r="N2963" t="s">
        <v>256</v>
      </c>
      <c r="O2963" t="s">
        <v>280</v>
      </c>
      <c r="P2963" t="s">
        <v>424</v>
      </c>
      <c r="Q2963" s="4" t="s">
        <v>245</v>
      </c>
    </row>
    <row r="2964" spans="1:17" x14ac:dyDescent="0.25">
      <c r="A2964" t="s">
        <v>424</v>
      </c>
      <c r="B2964" t="s">
        <v>120</v>
      </c>
      <c r="C2964" s="4">
        <f t="shared" ref="C2964:M2964" si="1610">(0.752028927432513/(0.0900940072589024+0.00396421732885982+0.0572052587068733+0.752028927432513)) * 0.0660509504702417%</f>
        <v>5.4990194590528963E-4</v>
      </c>
      <c r="D2964" s="4">
        <f t="shared" si="1610"/>
        <v>5.4990194590528963E-4</v>
      </c>
      <c r="E2964" s="4">
        <f t="shared" si="1610"/>
        <v>5.4990194590528963E-4</v>
      </c>
      <c r="F2964" s="4">
        <f t="shared" si="1610"/>
        <v>5.4990194590528963E-4</v>
      </c>
      <c r="G2964" s="4">
        <f t="shared" si="1610"/>
        <v>5.4990194590528963E-4</v>
      </c>
      <c r="H2964" s="4">
        <f t="shared" si="1610"/>
        <v>5.4990194590528963E-4</v>
      </c>
      <c r="I2964" s="4">
        <f t="shared" si="1610"/>
        <v>5.4990194590528963E-4</v>
      </c>
      <c r="J2964" s="4">
        <f t="shared" si="1610"/>
        <v>5.4990194590528963E-4</v>
      </c>
      <c r="K2964" s="4">
        <f t="shared" si="1610"/>
        <v>5.4990194590528963E-4</v>
      </c>
      <c r="L2964" s="4">
        <f t="shared" si="1610"/>
        <v>5.4990194590528963E-4</v>
      </c>
      <c r="M2964" s="4">
        <f t="shared" si="1610"/>
        <v>5.4990194590528963E-4</v>
      </c>
      <c r="N2964" t="s">
        <v>256</v>
      </c>
      <c r="O2964" t="s">
        <v>354</v>
      </c>
      <c r="P2964" t="s">
        <v>424</v>
      </c>
      <c r="Q2964" s="4" t="s">
        <v>245</v>
      </c>
    </row>
    <row r="2965" spans="1:17" x14ac:dyDescent="0.25">
      <c r="A2965" t="s">
        <v>424</v>
      </c>
      <c r="B2965" t="s">
        <v>107</v>
      </c>
      <c r="C2965" s="4">
        <f t="shared" ref="C2965:M2965" si="1611">(0.0900940072589024/(0.0900940072589024+0.00396421732885982+0.0572052587068733+0.752028927432513)) * 4.97077436255549%</f>
        <v>4.9578295597760245E-3</v>
      </c>
      <c r="D2965" s="4">
        <f t="shared" si="1611"/>
        <v>4.9578295597760245E-3</v>
      </c>
      <c r="E2965" s="4">
        <f t="shared" si="1611"/>
        <v>4.9578295597760245E-3</v>
      </c>
      <c r="F2965" s="4">
        <f t="shared" si="1611"/>
        <v>4.9578295597760245E-3</v>
      </c>
      <c r="G2965" s="4">
        <f t="shared" si="1611"/>
        <v>4.9578295597760245E-3</v>
      </c>
      <c r="H2965" s="4">
        <f t="shared" si="1611"/>
        <v>4.9578295597760245E-3</v>
      </c>
      <c r="I2965" s="4">
        <f t="shared" si="1611"/>
        <v>4.9578295597760245E-3</v>
      </c>
      <c r="J2965" s="4">
        <f t="shared" si="1611"/>
        <v>4.9578295597760245E-3</v>
      </c>
      <c r="K2965" s="4">
        <f t="shared" si="1611"/>
        <v>4.9578295597760245E-3</v>
      </c>
      <c r="L2965" s="4">
        <f t="shared" si="1611"/>
        <v>4.9578295597760245E-3</v>
      </c>
      <c r="M2965" s="4">
        <f t="shared" si="1611"/>
        <v>4.9578295597760245E-3</v>
      </c>
      <c r="N2965" t="s">
        <v>242</v>
      </c>
      <c r="O2965" t="s">
        <v>358</v>
      </c>
      <c r="P2965" t="s">
        <v>424</v>
      </c>
      <c r="Q2965" s="4" t="s">
        <v>245</v>
      </c>
    </row>
    <row r="2966" spans="1:17" x14ac:dyDescent="0.25">
      <c r="A2966" t="s">
        <v>424</v>
      </c>
      <c r="B2966" t="s">
        <v>107</v>
      </c>
      <c r="C2966" s="4">
        <f t="shared" ref="C2966:M2966" si="1612">(0.00396421732885982/(0.0900940072589024+0.00396421732885982+0.0572052587068733+0.752028927432513))  * 4.97077436255549%</f>
        <v>2.1814895854191816E-4</v>
      </c>
      <c r="D2966" s="4">
        <f t="shared" si="1612"/>
        <v>2.1814895854191816E-4</v>
      </c>
      <c r="E2966" s="4">
        <f t="shared" si="1612"/>
        <v>2.1814895854191816E-4</v>
      </c>
      <c r="F2966" s="4">
        <f t="shared" si="1612"/>
        <v>2.1814895854191816E-4</v>
      </c>
      <c r="G2966" s="4">
        <f t="shared" si="1612"/>
        <v>2.1814895854191816E-4</v>
      </c>
      <c r="H2966" s="4">
        <f t="shared" si="1612"/>
        <v>2.1814895854191816E-4</v>
      </c>
      <c r="I2966" s="4">
        <f t="shared" si="1612"/>
        <v>2.1814895854191816E-4</v>
      </c>
      <c r="J2966" s="4">
        <f t="shared" si="1612"/>
        <v>2.1814895854191816E-4</v>
      </c>
      <c r="K2966" s="4">
        <f t="shared" si="1612"/>
        <v>2.1814895854191816E-4</v>
      </c>
      <c r="L2966" s="4">
        <f t="shared" si="1612"/>
        <v>2.1814895854191816E-4</v>
      </c>
      <c r="M2966" s="4">
        <f t="shared" si="1612"/>
        <v>2.1814895854191816E-4</v>
      </c>
      <c r="N2966" t="s">
        <v>256</v>
      </c>
      <c r="O2966" t="s">
        <v>353</v>
      </c>
      <c r="P2966" t="s">
        <v>424</v>
      </c>
      <c r="Q2966" s="4" t="s">
        <v>245</v>
      </c>
    </row>
    <row r="2967" spans="1:17" x14ac:dyDescent="0.25">
      <c r="A2967" t="s">
        <v>424</v>
      </c>
      <c r="B2967" t="s">
        <v>107</v>
      </c>
      <c r="C2967" s="4">
        <f t="shared" ref="C2967:M2967" si="1613">(0.0572052587068733/(0.0900940072589024+0.00396421732885982+0.0572052587068733+0.752028927432513)) * 4.97077436255549%</f>
        <v>3.1479776648912091E-3</v>
      </c>
      <c r="D2967" s="4">
        <f t="shared" si="1613"/>
        <v>3.1479776648912091E-3</v>
      </c>
      <c r="E2967" s="4">
        <f t="shared" si="1613"/>
        <v>3.1479776648912091E-3</v>
      </c>
      <c r="F2967" s="4">
        <f t="shared" si="1613"/>
        <v>3.1479776648912091E-3</v>
      </c>
      <c r="G2967" s="4">
        <f t="shared" si="1613"/>
        <v>3.1479776648912091E-3</v>
      </c>
      <c r="H2967" s="4">
        <f t="shared" si="1613"/>
        <v>3.1479776648912091E-3</v>
      </c>
      <c r="I2967" s="4">
        <f t="shared" si="1613"/>
        <v>3.1479776648912091E-3</v>
      </c>
      <c r="J2967" s="4">
        <f t="shared" si="1613"/>
        <v>3.1479776648912091E-3</v>
      </c>
      <c r="K2967" s="4">
        <f t="shared" si="1613"/>
        <v>3.1479776648912091E-3</v>
      </c>
      <c r="L2967" s="4">
        <f t="shared" si="1613"/>
        <v>3.1479776648912091E-3</v>
      </c>
      <c r="M2967" s="4">
        <f t="shared" si="1613"/>
        <v>3.1479776648912091E-3</v>
      </c>
      <c r="N2967" t="s">
        <v>256</v>
      </c>
      <c r="O2967" t="s">
        <v>280</v>
      </c>
      <c r="P2967" t="s">
        <v>424</v>
      </c>
      <c r="Q2967" s="4" t="s">
        <v>245</v>
      </c>
    </row>
    <row r="2968" spans="1:17" x14ac:dyDescent="0.25">
      <c r="A2968" t="s">
        <v>424</v>
      </c>
      <c r="B2968" t="s">
        <v>107</v>
      </c>
      <c r="C2968" s="4">
        <f t="shared" ref="C2968:M2968" si="1614">(0.752028927432513/(0.0900940072589024+0.00396421732885982+0.0572052587068733+0.752028927432513)) * 4.97077436255549%</f>
        <v>4.1383787442345749E-2</v>
      </c>
      <c r="D2968" s="4">
        <f t="shared" si="1614"/>
        <v>4.1383787442345749E-2</v>
      </c>
      <c r="E2968" s="4">
        <f t="shared" si="1614"/>
        <v>4.1383787442345749E-2</v>
      </c>
      <c r="F2968" s="4">
        <f t="shared" si="1614"/>
        <v>4.1383787442345749E-2</v>
      </c>
      <c r="G2968" s="4">
        <f t="shared" si="1614"/>
        <v>4.1383787442345749E-2</v>
      </c>
      <c r="H2968" s="4">
        <f t="shared" si="1614"/>
        <v>4.1383787442345749E-2</v>
      </c>
      <c r="I2968" s="4">
        <f t="shared" si="1614"/>
        <v>4.1383787442345749E-2</v>
      </c>
      <c r="J2968" s="4">
        <f t="shared" si="1614"/>
        <v>4.1383787442345749E-2</v>
      </c>
      <c r="K2968" s="4">
        <f t="shared" si="1614"/>
        <v>4.1383787442345749E-2</v>
      </c>
      <c r="L2968" s="4">
        <f t="shared" si="1614"/>
        <v>4.1383787442345749E-2</v>
      </c>
      <c r="M2968" s="4">
        <f t="shared" si="1614"/>
        <v>4.1383787442345749E-2</v>
      </c>
      <c r="N2968" t="s">
        <v>256</v>
      </c>
      <c r="O2968" t="s">
        <v>354</v>
      </c>
      <c r="P2968" t="s">
        <v>424</v>
      </c>
      <c r="Q2968" s="4" t="s">
        <v>245</v>
      </c>
    </row>
    <row r="2969" spans="1:17" x14ac:dyDescent="0.25">
      <c r="A2969" t="s">
        <v>424</v>
      </c>
      <c r="B2969" t="s">
        <v>108</v>
      </c>
      <c r="C2969" s="4">
        <f t="shared" ref="C2969:M2969" si="1615">(0.0900940072589024/(0.0900940072589024+0.00396421732885982+0.0572052587068733+0.752028927432513)) * 0.0214959148808153%</f>
        <v>2.1439935599037306E-5</v>
      </c>
      <c r="D2969" s="4">
        <f t="shared" si="1615"/>
        <v>2.1439935599037306E-5</v>
      </c>
      <c r="E2969" s="4">
        <f t="shared" si="1615"/>
        <v>2.1439935599037306E-5</v>
      </c>
      <c r="F2969" s="4">
        <f t="shared" si="1615"/>
        <v>2.1439935599037306E-5</v>
      </c>
      <c r="G2969" s="4">
        <f t="shared" si="1615"/>
        <v>2.1439935599037306E-5</v>
      </c>
      <c r="H2969" s="4">
        <f t="shared" si="1615"/>
        <v>2.1439935599037306E-5</v>
      </c>
      <c r="I2969" s="4">
        <f t="shared" si="1615"/>
        <v>2.1439935599037306E-5</v>
      </c>
      <c r="J2969" s="4">
        <f t="shared" si="1615"/>
        <v>2.1439935599037306E-5</v>
      </c>
      <c r="K2969" s="4">
        <f t="shared" si="1615"/>
        <v>2.1439935599037306E-5</v>
      </c>
      <c r="L2969" s="4">
        <f t="shared" si="1615"/>
        <v>2.1439935599037306E-5</v>
      </c>
      <c r="M2969" s="4">
        <f t="shared" si="1615"/>
        <v>2.1439935599037306E-5</v>
      </c>
      <c r="N2969" t="s">
        <v>242</v>
      </c>
      <c r="O2969" t="s">
        <v>358</v>
      </c>
      <c r="P2969" t="s">
        <v>424</v>
      </c>
      <c r="Q2969" s="4" t="s">
        <v>245</v>
      </c>
    </row>
    <row r="2970" spans="1:17" x14ac:dyDescent="0.25">
      <c r="A2970" t="s">
        <v>424</v>
      </c>
      <c r="B2970" t="s">
        <v>108</v>
      </c>
      <c r="C2970" s="4">
        <f t="shared" ref="C2970:M2970" si="1616">(0.00396421732885982/(0.0900940072589024+0.00396421732885982+0.0572052587068733+0.752028927432513))  * 0.119818625851367%</f>
        <v>5.258397693586253E-6</v>
      </c>
      <c r="D2970" s="4">
        <f t="shared" si="1616"/>
        <v>5.258397693586253E-6</v>
      </c>
      <c r="E2970" s="4">
        <f t="shared" si="1616"/>
        <v>5.258397693586253E-6</v>
      </c>
      <c r="F2970" s="4">
        <f t="shared" si="1616"/>
        <v>5.258397693586253E-6</v>
      </c>
      <c r="G2970" s="4">
        <f t="shared" si="1616"/>
        <v>5.258397693586253E-6</v>
      </c>
      <c r="H2970" s="4">
        <f t="shared" si="1616"/>
        <v>5.258397693586253E-6</v>
      </c>
      <c r="I2970" s="4">
        <f t="shared" si="1616"/>
        <v>5.258397693586253E-6</v>
      </c>
      <c r="J2970" s="4">
        <f t="shared" si="1616"/>
        <v>5.258397693586253E-6</v>
      </c>
      <c r="K2970" s="4">
        <f t="shared" si="1616"/>
        <v>5.258397693586253E-6</v>
      </c>
      <c r="L2970" s="4">
        <f t="shared" si="1616"/>
        <v>5.258397693586253E-6</v>
      </c>
      <c r="M2970" s="4">
        <f t="shared" si="1616"/>
        <v>5.258397693586253E-6</v>
      </c>
      <c r="N2970" t="s">
        <v>256</v>
      </c>
      <c r="O2970" t="s">
        <v>353</v>
      </c>
      <c r="P2970" t="s">
        <v>424</v>
      </c>
      <c r="Q2970" s="4" t="s">
        <v>245</v>
      </c>
    </row>
    <row r="2971" spans="1:17" x14ac:dyDescent="0.25">
      <c r="A2971" t="s">
        <v>424</v>
      </c>
      <c r="B2971" t="s">
        <v>108</v>
      </c>
      <c r="C2971" s="4">
        <f t="shared" ref="C2971:M2971" si="1617">(0.0572052587068733/(0.0900940072589024+0.00396421732885982+0.0572052587068733+0.752028927432513)) * 0.0214959148808153%</f>
        <v>1.3613303480631231E-5</v>
      </c>
      <c r="D2971" s="4">
        <f t="shared" si="1617"/>
        <v>1.3613303480631231E-5</v>
      </c>
      <c r="E2971" s="4">
        <f t="shared" si="1617"/>
        <v>1.3613303480631231E-5</v>
      </c>
      <c r="F2971" s="4">
        <f t="shared" si="1617"/>
        <v>1.3613303480631231E-5</v>
      </c>
      <c r="G2971" s="4">
        <f t="shared" si="1617"/>
        <v>1.3613303480631231E-5</v>
      </c>
      <c r="H2971" s="4">
        <f t="shared" si="1617"/>
        <v>1.3613303480631231E-5</v>
      </c>
      <c r="I2971" s="4">
        <f t="shared" si="1617"/>
        <v>1.3613303480631231E-5</v>
      </c>
      <c r="J2971" s="4">
        <f t="shared" si="1617"/>
        <v>1.3613303480631231E-5</v>
      </c>
      <c r="K2971" s="4">
        <f t="shared" si="1617"/>
        <v>1.3613303480631231E-5</v>
      </c>
      <c r="L2971" s="4">
        <f t="shared" si="1617"/>
        <v>1.3613303480631231E-5</v>
      </c>
      <c r="M2971" s="4">
        <f t="shared" si="1617"/>
        <v>1.3613303480631231E-5</v>
      </c>
      <c r="N2971" t="s">
        <v>256</v>
      </c>
      <c r="O2971" t="s">
        <v>280</v>
      </c>
      <c r="P2971" t="s">
        <v>424</v>
      </c>
      <c r="Q2971" s="4" t="s">
        <v>245</v>
      </c>
    </row>
    <row r="2972" spans="1:17" x14ac:dyDescent="0.25">
      <c r="A2972" t="s">
        <v>424</v>
      </c>
      <c r="B2972" t="s">
        <v>108</v>
      </c>
      <c r="C2972" s="4">
        <f t="shared" ref="C2972:M2972" si="1618">(0.752028927432513/(0.0900940072589024+0.00396421732885982+0.0572052587068733+0.752028927432513)) * 0.0214959148808153%</f>
        <v>1.7896253328406571E-4</v>
      </c>
      <c r="D2972" s="4">
        <f t="shared" si="1618"/>
        <v>1.7896253328406571E-4</v>
      </c>
      <c r="E2972" s="4">
        <f t="shared" si="1618"/>
        <v>1.7896253328406571E-4</v>
      </c>
      <c r="F2972" s="4">
        <f t="shared" si="1618"/>
        <v>1.7896253328406571E-4</v>
      </c>
      <c r="G2972" s="4">
        <f t="shared" si="1618"/>
        <v>1.7896253328406571E-4</v>
      </c>
      <c r="H2972" s="4">
        <f t="shared" si="1618"/>
        <v>1.7896253328406571E-4</v>
      </c>
      <c r="I2972" s="4">
        <f t="shared" si="1618"/>
        <v>1.7896253328406571E-4</v>
      </c>
      <c r="J2972" s="4">
        <f t="shared" si="1618"/>
        <v>1.7896253328406571E-4</v>
      </c>
      <c r="K2972" s="4">
        <f t="shared" si="1618"/>
        <v>1.7896253328406571E-4</v>
      </c>
      <c r="L2972" s="4">
        <f t="shared" si="1618"/>
        <v>1.7896253328406571E-4</v>
      </c>
      <c r="M2972" s="4">
        <f t="shared" si="1618"/>
        <v>1.7896253328406571E-4</v>
      </c>
      <c r="N2972" t="s">
        <v>256</v>
      </c>
      <c r="O2972" t="s">
        <v>354</v>
      </c>
      <c r="P2972" t="s">
        <v>424</v>
      </c>
      <c r="Q2972" s="4" t="s">
        <v>245</v>
      </c>
    </row>
    <row r="2973" spans="1:17" x14ac:dyDescent="0.25">
      <c r="A2973" t="s">
        <v>424</v>
      </c>
      <c r="B2973" t="s">
        <v>205</v>
      </c>
      <c r="C2973" s="4">
        <f t="shared" ref="C2973:M2973" si="1619">(0.0900940072589024/(0.0900940072589024+0.00396421732885982+0.0572052587068733+0.752028927432513)) * 0.00766191025454803%</f>
        <v>7.6419572432212211E-6</v>
      </c>
      <c r="D2973" s="4">
        <f t="shared" si="1619"/>
        <v>7.6419572432212211E-6</v>
      </c>
      <c r="E2973" s="4">
        <f t="shared" si="1619"/>
        <v>7.6419572432212211E-6</v>
      </c>
      <c r="F2973" s="4">
        <f t="shared" si="1619"/>
        <v>7.6419572432212211E-6</v>
      </c>
      <c r="G2973" s="4">
        <f t="shared" si="1619"/>
        <v>7.6419572432212211E-6</v>
      </c>
      <c r="H2973" s="4">
        <f t="shared" si="1619"/>
        <v>7.6419572432212211E-6</v>
      </c>
      <c r="I2973" s="4">
        <f t="shared" si="1619"/>
        <v>7.6419572432212211E-6</v>
      </c>
      <c r="J2973" s="4">
        <f t="shared" si="1619"/>
        <v>7.6419572432212211E-6</v>
      </c>
      <c r="K2973" s="4">
        <f t="shared" si="1619"/>
        <v>7.6419572432212211E-6</v>
      </c>
      <c r="L2973" s="4">
        <f t="shared" si="1619"/>
        <v>7.6419572432212211E-6</v>
      </c>
      <c r="M2973" s="4">
        <f t="shared" si="1619"/>
        <v>7.6419572432212211E-6</v>
      </c>
      <c r="N2973" t="s">
        <v>242</v>
      </c>
      <c r="O2973" t="s">
        <v>358</v>
      </c>
      <c r="P2973" t="s">
        <v>424</v>
      </c>
      <c r="Q2973" s="4" t="s">
        <v>245</v>
      </c>
    </row>
    <row r="2974" spans="1:17" x14ac:dyDescent="0.25">
      <c r="A2974" t="s">
        <v>424</v>
      </c>
      <c r="B2974" t="s">
        <v>205</v>
      </c>
      <c r="C2974" s="4">
        <f t="shared" ref="C2974:M2974" si="1620">(0.00396421732885982/(0.0900940072589024+0.00396421732885982+0.0572052587068733+0.752028927432513))  * 0.00766191025454803%</f>
        <v>3.3625299008985892E-7</v>
      </c>
      <c r="D2974" s="4">
        <f t="shared" si="1620"/>
        <v>3.3625299008985892E-7</v>
      </c>
      <c r="E2974" s="4">
        <f t="shared" si="1620"/>
        <v>3.3625299008985892E-7</v>
      </c>
      <c r="F2974" s="4">
        <f t="shared" si="1620"/>
        <v>3.3625299008985892E-7</v>
      </c>
      <c r="G2974" s="4">
        <f t="shared" si="1620"/>
        <v>3.3625299008985892E-7</v>
      </c>
      <c r="H2974" s="4">
        <f t="shared" si="1620"/>
        <v>3.3625299008985892E-7</v>
      </c>
      <c r="I2974" s="4">
        <f t="shared" si="1620"/>
        <v>3.3625299008985892E-7</v>
      </c>
      <c r="J2974" s="4">
        <f t="shared" si="1620"/>
        <v>3.3625299008985892E-7</v>
      </c>
      <c r="K2974" s="4">
        <f t="shared" si="1620"/>
        <v>3.3625299008985892E-7</v>
      </c>
      <c r="L2974" s="4">
        <f t="shared" si="1620"/>
        <v>3.3625299008985892E-7</v>
      </c>
      <c r="M2974" s="4">
        <f t="shared" si="1620"/>
        <v>3.3625299008985892E-7</v>
      </c>
      <c r="N2974" t="s">
        <v>256</v>
      </c>
      <c r="O2974" t="s">
        <v>353</v>
      </c>
      <c r="P2974" t="s">
        <v>424</v>
      </c>
      <c r="Q2974" s="4" t="s">
        <v>245</v>
      </c>
    </row>
    <row r="2975" spans="1:17" x14ac:dyDescent="0.25">
      <c r="A2975" t="s">
        <v>424</v>
      </c>
      <c r="B2975" t="s">
        <v>205</v>
      </c>
      <c r="C2975" s="4">
        <f t="shared" ref="C2975:M2975" si="1621">(0.0572052587068733/(0.0900940072589024+0.00396421732885982+0.0572052587068733+0.752028927432513)) * 0.00766191025454803%</f>
        <v>4.8522665871556882E-6</v>
      </c>
      <c r="D2975" s="4">
        <f t="shared" si="1621"/>
        <v>4.8522665871556882E-6</v>
      </c>
      <c r="E2975" s="4">
        <f t="shared" si="1621"/>
        <v>4.8522665871556882E-6</v>
      </c>
      <c r="F2975" s="4">
        <f t="shared" si="1621"/>
        <v>4.8522665871556882E-6</v>
      </c>
      <c r="G2975" s="4">
        <f t="shared" si="1621"/>
        <v>4.8522665871556882E-6</v>
      </c>
      <c r="H2975" s="4">
        <f t="shared" si="1621"/>
        <v>4.8522665871556882E-6</v>
      </c>
      <c r="I2975" s="4">
        <f t="shared" si="1621"/>
        <v>4.8522665871556882E-6</v>
      </c>
      <c r="J2975" s="4">
        <f t="shared" si="1621"/>
        <v>4.8522665871556882E-6</v>
      </c>
      <c r="K2975" s="4">
        <f t="shared" si="1621"/>
        <v>4.8522665871556882E-6</v>
      </c>
      <c r="L2975" s="4">
        <f t="shared" si="1621"/>
        <v>4.8522665871556882E-6</v>
      </c>
      <c r="M2975" s="4">
        <f t="shared" si="1621"/>
        <v>4.8522665871556882E-6</v>
      </c>
      <c r="N2975" t="s">
        <v>256</v>
      </c>
      <c r="O2975" t="s">
        <v>280</v>
      </c>
      <c r="P2975" t="s">
        <v>424</v>
      </c>
      <c r="Q2975" s="4" t="s">
        <v>245</v>
      </c>
    </row>
    <row r="2976" spans="1:17" x14ac:dyDescent="0.25">
      <c r="A2976" t="s">
        <v>424</v>
      </c>
      <c r="B2976" t="s">
        <v>205</v>
      </c>
      <c r="C2976" s="4">
        <f t="shared" ref="C2976:M2976" si="1622">(0.752028927432513/(0.0900940072589024+0.00396421732885982+0.0572052587068733+0.752028927432513)) * 0.00766191025454803%</f>
        <v>6.3788625725013544E-5</v>
      </c>
      <c r="D2976" s="4">
        <f t="shared" si="1622"/>
        <v>6.3788625725013544E-5</v>
      </c>
      <c r="E2976" s="4">
        <f t="shared" si="1622"/>
        <v>6.3788625725013544E-5</v>
      </c>
      <c r="F2976" s="4">
        <f t="shared" si="1622"/>
        <v>6.3788625725013544E-5</v>
      </c>
      <c r="G2976" s="4">
        <f t="shared" si="1622"/>
        <v>6.3788625725013544E-5</v>
      </c>
      <c r="H2976" s="4">
        <f t="shared" si="1622"/>
        <v>6.3788625725013544E-5</v>
      </c>
      <c r="I2976" s="4">
        <f t="shared" si="1622"/>
        <v>6.3788625725013544E-5</v>
      </c>
      <c r="J2976" s="4">
        <f t="shared" si="1622"/>
        <v>6.3788625725013544E-5</v>
      </c>
      <c r="K2976" s="4">
        <f t="shared" si="1622"/>
        <v>6.3788625725013544E-5</v>
      </c>
      <c r="L2976" s="4">
        <f t="shared" si="1622"/>
        <v>6.3788625725013544E-5</v>
      </c>
      <c r="M2976" s="4">
        <f t="shared" si="1622"/>
        <v>6.3788625725013544E-5</v>
      </c>
      <c r="N2976" t="s">
        <v>256</v>
      </c>
      <c r="O2976" t="s">
        <v>354</v>
      </c>
      <c r="P2976" t="s">
        <v>424</v>
      </c>
      <c r="Q2976" s="4" t="s">
        <v>245</v>
      </c>
    </row>
    <row r="2977" spans="1:17" x14ac:dyDescent="0.25">
      <c r="A2977" t="s">
        <v>424</v>
      </c>
      <c r="B2977" t="s">
        <v>179</v>
      </c>
      <c r="C2977" s="4">
        <f t="shared" ref="C2977:M2977" si="1623">(0.0900940072589024/(0.0900940072589024+0.00396421732885982+0.0572052587068733+0.752028927432513)) * 0.0438871870902272%</f>
        <v>4.377289685293379E-5</v>
      </c>
      <c r="D2977" s="4">
        <f t="shared" si="1623"/>
        <v>4.377289685293379E-5</v>
      </c>
      <c r="E2977" s="4">
        <f t="shared" si="1623"/>
        <v>4.377289685293379E-5</v>
      </c>
      <c r="F2977" s="4">
        <f t="shared" si="1623"/>
        <v>4.377289685293379E-5</v>
      </c>
      <c r="G2977" s="4">
        <f t="shared" si="1623"/>
        <v>4.377289685293379E-5</v>
      </c>
      <c r="H2977" s="4">
        <f t="shared" si="1623"/>
        <v>4.377289685293379E-5</v>
      </c>
      <c r="I2977" s="4">
        <f t="shared" si="1623"/>
        <v>4.377289685293379E-5</v>
      </c>
      <c r="J2977" s="4">
        <f t="shared" si="1623"/>
        <v>4.377289685293379E-5</v>
      </c>
      <c r="K2977" s="4">
        <f t="shared" si="1623"/>
        <v>4.377289685293379E-5</v>
      </c>
      <c r="L2977" s="4">
        <f t="shared" si="1623"/>
        <v>4.377289685293379E-5</v>
      </c>
      <c r="M2977" s="4">
        <f t="shared" si="1623"/>
        <v>4.377289685293379E-5</v>
      </c>
      <c r="N2977" t="s">
        <v>242</v>
      </c>
      <c r="O2977" t="s">
        <v>358</v>
      </c>
      <c r="P2977" t="s">
        <v>424</v>
      </c>
      <c r="Q2977" s="4" t="s">
        <v>245</v>
      </c>
    </row>
    <row r="2978" spans="1:17" x14ac:dyDescent="0.25">
      <c r="A2978" t="s">
        <v>424</v>
      </c>
      <c r="B2978" t="s">
        <v>179</v>
      </c>
      <c r="C2978" s="4">
        <f t="shared" ref="C2978:M2978" si="1624">(0.00396421732885982/(0.0900940072589024+0.00396421732885982+0.0572052587068733+0.752028927432513))  * 0.0438871870902272%</f>
        <v>1.9260468206296507E-6</v>
      </c>
      <c r="D2978" s="4">
        <f t="shared" si="1624"/>
        <v>1.9260468206296507E-6</v>
      </c>
      <c r="E2978" s="4">
        <f t="shared" si="1624"/>
        <v>1.9260468206296507E-6</v>
      </c>
      <c r="F2978" s="4">
        <f t="shared" si="1624"/>
        <v>1.9260468206296507E-6</v>
      </c>
      <c r="G2978" s="4">
        <f t="shared" si="1624"/>
        <v>1.9260468206296507E-6</v>
      </c>
      <c r="H2978" s="4">
        <f t="shared" si="1624"/>
        <v>1.9260468206296507E-6</v>
      </c>
      <c r="I2978" s="4">
        <f t="shared" si="1624"/>
        <v>1.9260468206296507E-6</v>
      </c>
      <c r="J2978" s="4">
        <f t="shared" si="1624"/>
        <v>1.9260468206296507E-6</v>
      </c>
      <c r="K2978" s="4">
        <f t="shared" si="1624"/>
        <v>1.9260468206296507E-6</v>
      </c>
      <c r="L2978" s="4">
        <f t="shared" si="1624"/>
        <v>1.9260468206296507E-6</v>
      </c>
      <c r="M2978" s="4">
        <f t="shared" si="1624"/>
        <v>1.9260468206296507E-6</v>
      </c>
      <c r="N2978" t="s">
        <v>256</v>
      </c>
      <c r="O2978" t="s">
        <v>353</v>
      </c>
      <c r="P2978" t="s">
        <v>424</v>
      </c>
      <c r="Q2978" s="4" t="s">
        <v>245</v>
      </c>
    </row>
    <row r="2979" spans="1:17" x14ac:dyDescent="0.25">
      <c r="A2979" t="s">
        <v>424</v>
      </c>
      <c r="B2979" t="s">
        <v>179</v>
      </c>
      <c r="C2979" s="4">
        <f t="shared" ref="C2979:M2979" si="1625">(0.0572052587068733/(0.0900940072589024+0.00396421732885982+0.0572052587068733+0.752028927432513)) * 0.0438871870902272%</f>
        <v>2.779363428275E-5</v>
      </c>
      <c r="D2979" s="4">
        <f t="shared" si="1625"/>
        <v>2.779363428275E-5</v>
      </c>
      <c r="E2979" s="4">
        <f t="shared" si="1625"/>
        <v>2.779363428275E-5</v>
      </c>
      <c r="F2979" s="4">
        <f t="shared" si="1625"/>
        <v>2.779363428275E-5</v>
      </c>
      <c r="G2979" s="4">
        <f t="shared" si="1625"/>
        <v>2.779363428275E-5</v>
      </c>
      <c r="H2979" s="4">
        <f t="shared" si="1625"/>
        <v>2.779363428275E-5</v>
      </c>
      <c r="I2979" s="4">
        <f t="shared" si="1625"/>
        <v>2.779363428275E-5</v>
      </c>
      <c r="J2979" s="4">
        <f t="shared" si="1625"/>
        <v>2.779363428275E-5</v>
      </c>
      <c r="K2979" s="4">
        <f t="shared" si="1625"/>
        <v>2.779363428275E-5</v>
      </c>
      <c r="L2979" s="4">
        <f t="shared" si="1625"/>
        <v>2.779363428275E-5</v>
      </c>
      <c r="M2979" s="4">
        <f t="shared" si="1625"/>
        <v>2.779363428275E-5</v>
      </c>
      <c r="N2979" t="s">
        <v>256</v>
      </c>
      <c r="O2979" t="s">
        <v>280</v>
      </c>
      <c r="P2979" t="s">
        <v>424</v>
      </c>
      <c r="Q2979" s="4" t="s">
        <v>245</v>
      </c>
    </row>
    <row r="2980" spans="1:17" x14ac:dyDescent="0.25">
      <c r="A2980" t="s">
        <v>424</v>
      </c>
      <c r="B2980" t="s">
        <v>179</v>
      </c>
      <c r="C2980" s="4">
        <f t="shared" ref="C2980:M2980" si="1626">(0.752028927432513/(0.0900940072589024+0.00396421732885982+0.0572052587068733+0.752028927432513)) * 0.0438871870902272%</f>
        <v>3.653792929459586E-4</v>
      </c>
      <c r="D2980" s="4">
        <f t="shared" si="1626"/>
        <v>3.653792929459586E-4</v>
      </c>
      <c r="E2980" s="4">
        <f t="shared" si="1626"/>
        <v>3.653792929459586E-4</v>
      </c>
      <c r="F2980" s="4">
        <f t="shared" si="1626"/>
        <v>3.653792929459586E-4</v>
      </c>
      <c r="G2980" s="4">
        <f t="shared" si="1626"/>
        <v>3.653792929459586E-4</v>
      </c>
      <c r="H2980" s="4">
        <f t="shared" si="1626"/>
        <v>3.653792929459586E-4</v>
      </c>
      <c r="I2980" s="4">
        <f t="shared" si="1626"/>
        <v>3.653792929459586E-4</v>
      </c>
      <c r="J2980" s="4">
        <f t="shared" si="1626"/>
        <v>3.653792929459586E-4</v>
      </c>
      <c r="K2980" s="4">
        <f t="shared" si="1626"/>
        <v>3.653792929459586E-4</v>
      </c>
      <c r="L2980" s="4">
        <f t="shared" si="1626"/>
        <v>3.653792929459586E-4</v>
      </c>
      <c r="M2980" s="4">
        <f t="shared" si="1626"/>
        <v>3.653792929459586E-4</v>
      </c>
      <c r="N2980" t="s">
        <v>256</v>
      </c>
      <c r="O2980" t="s">
        <v>354</v>
      </c>
      <c r="P2980" t="s">
        <v>424</v>
      </c>
      <c r="Q2980" s="4" t="s">
        <v>245</v>
      </c>
    </row>
    <row r="2981" spans="1:17" x14ac:dyDescent="0.25">
      <c r="A2981" t="s">
        <v>424</v>
      </c>
      <c r="B2981" t="s">
        <v>135</v>
      </c>
      <c r="C2981" s="4">
        <f t="shared" ref="C2981:M2981" si="1627">(0.0900940072589024/(0.0900940072589024+0.00396421732885982+0.0572052587068733+0.752028927432513)) * 0.00120873239360542%</f>
        <v>1.2055846340598974E-6</v>
      </c>
      <c r="D2981" s="4">
        <f t="shared" si="1627"/>
        <v>1.2055846340598974E-6</v>
      </c>
      <c r="E2981" s="4">
        <f t="shared" si="1627"/>
        <v>1.2055846340598974E-6</v>
      </c>
      <c r="F2981" s="4">
        <f t="shared" si="1627"/>
        <v>1.2055846340598974E-6</v>
      </c>
      <c r="G2981" s="4">
        <f t="shared" si="1627"/>
        <v>1.2055846340598974E-6</v>
      </c>
      <c r="H2981" s="4">
        <f t="shared" si="1627"/>
        <v>1.2055846340598974E-6</v>
      </c>
      <c r="I2981" s="4">
        <f t="shared" si="1627"/>
        <v>1.2055846340598974E-6</v>
      </c>
      <c r="J2981" s="4">
        <f t="shared" si="1627"/>
        <v>1.2055846340598974E-6</v>
      </c>
      <c r="K2981" s="4">
        <f t="shared" si="1627"/>
        <v>1.2055846340598974E-6</v>
      </c>
      <c r="L2981" s="4">
        <f t="shared" si="1627"/>
        <v>1.2055846340598974E-6</v>
      </c>
      <c r="M2981" s="4">
        <f t="shared" si="1627"/>
        <v>1.2055846340598974E-6</v>
      </c>
      <c r="N2981" t="s">
        <v>242</v>
      </c>
      <c r="O2981" t="s">
        <v>358</v>
      </c>
      <c r="P2981" t="s">
        <v>424</v>
      </c>
      <c r="Q2981" s="4" t="s">
        <v>245</v>
      </c>
    </row>
    <row r="2982" spans="1:17" x14ac:dyDescent="0.25">
      <c r="A2982" t="s">
        <v>424</v>
      </c>
      <c r="B2982" t="s">
        <v>135</v>
      </c>
      <c r="C2982" s="4">
        <f t="shared" ref="C2982:M2982" si="1628">(0.00396421732885982/(0.0900940072589024+0.00396421732885982+0.0572052587068733+0.752028927432513))  * 0.00120873239360542%</f>
        <v>5.3046807919348345E-8</v>
      </c>
      <c r="D2982" s="4">
        <f t="shared" si="1628"/>
        <v>5.3046807919348345E-8</v>
      </c>
      <c r="E2982" s="4">
        <f t="shared" si="1628"/>
        <v>5.3046807919348345E-8</v>
      </c>
      <c r="F2982" s="4">
        <f t="shared" si="1628"/>
        <v>5.3046807919348345E-8</v>
      </c>
      <c r="G2982" s="4">
        <f t="shared" si="1628"/>
        <v>5.3046807919348345E-8</v>
      </c>
      <c r="H2982" s="4">
        <f t="shared" si="1628"/>
        <v>5.3046807919348345E-8</v>
      </c>
      <c r="I2982" s="4">
        <f t="shared" si="1628"/>
        <v>5.3046807919348345E-8</v>
      </c>
      <c r="J2982" s="4">
        <f t="shared" si="1628"/>
        <v>5.3046807919348345E-8</v>
      </c>
      <c r="K2982" s="4">
        <f t="shared" si="1628"/>
        <v>5.3046807919348345E-8</v>
      </c>
      <c r="L2982" s="4">
        <f t="shared" si="1628"/>
        <v>5.3046807919348345E-8</v>
      </c>
      <c r="M2982" s="4">
        <f t="shared" si="1628"/>
        <v>5.3046807919348345E-8</v>
      </c>
      <c r="N2982" t="s">
        <v>256</v>
      </c>
      <c r="O2982" t="s">
        <v>353</v>
      </c>
      <c r="P2982" t="s">
        <v>424</v>
      </c>
      <c r="Q2982" s="4" t="s">
        <v>245</v>
      </c>
    </row>
    <row r="2983" spans="1:17" x14ac:dyDescent="0.25">
      <c r="A2983" t="s">
        <v>424</v>
      </c>
      <c r="B2983" t="s">
        <v>135</v>
      </c>
      <c r="C2983" s="4">
        <f t="shared" ref="C2983:M2983" si="1629">(0.0572052587068733/(0.0900940072589024+0.00396421732885982+0.0572052587068733+0.752028927432513)) * 0.00120873239360542%</f>
        <v>7.6548688400818062E-7</v>
      </c>
      <c r="D2983" s="4">
        <f t="shared" si="1629"/>
        <v>7.6548688400818062E-7</v>
      </c>
      <c r="E2983" s="4">
        <f t="shared" si="1629"/>
        <v>7.6548688400818062E-7</v>
      </c>
      <c r="F2983" s="4">
        <f t="shared" si="1629"/>
        <v>7.6548688400818062E-7</v>
      </c>
      <c r="G2983" s="4">
        <f t="shared" si="1629"/>
        <v>7.6548688400818062E-7</v>
      </c>
      <c r="H2983" s="4">
        <f t="shared" si="1629"/>
        <v>7.6548688400818062E-7</v>
      </c>
      <c r="I2983" s="4">
        <f t="shared" si="1629"/>
        <v>7.6548688400818062E-7</v>
      </c>
      <c r="J2983" s="4">
        <f t="shared" si="1629"/>
        <v>7.6548688400818062E-7</v>
      </c>
      <c r="K2983" s="4">
        <f t="shared" si="1629"/>
        <v>7.6548688400818062E-7</v>
      </c>
      <c r="L2983" s="4">
        <f t="shared" si="1629"/>
        <v>7.6548688400818062E-7</v>
      </c>
      <c r="M2983" s="4">
        <f t="shared" si="1629"/>
        <v>7.6548688400818062E-7</v>
      </c>
      <c r="N2983" t="s">
        <v>256</v>
      </c>
      <c r="O2983" t="s">
        <v>280</v>
      </c>
      <c r="P2983" t="s">
        <v>424</v>
      </c>
      <c r="Q2983" s="4" t="s">
        <v>245</v>
      </c>
    </row>
    <row r="2984" spans="1:17" x14ac:dyDescent="0.25">
      <c r="A2984" t="s">
        <v>424</v>
      </c>
      <c r="B2984" t="s">
        <v>135</v>
      </c>
      <c r="C2984" s="4">
        <f t="shared" ref="C2984:M2984" si="1630">(0.752028927432513/(0.0900940072589024+0.00396421732885982+0.0572052587068733+0.752028927432513)) * 0.00120873239360542%</f>
        <v>1.0063205610066775E-5</v>
      </c>
      <c r="D2984" s="4">
        <f t="shared" si="1630"/>
        <v>1.0063205610066775E-5</v>
      </c>
      <c r="E2984" s="4">
        <f t="shared" si="1630"/>
        <v>1.0063205610066775E-5</v>
      </c>
      <c r="F2984" s="4">
        <f t="shared" si="1630"/>
        <v>1.0063205610066775E-5</v>
      </c>
      <c r="G2984" s="4">
        <f t="shared" si="1630"/>
        <v>1.0063205610066775E-5</v>
      </c>
      <c r="H2984" s="4">
        <f t="shared" si="1630"/>
        <v>1.0063205610066775E-5</v>
      </c>
      <c r="I2984" s="4">
        <f t="shared" si="1630"/>
        <v>1.0063205610066775E-5</v>
      </c>
      <c r="J2984" s="4">
        <f t="shared" si="1630"/>
        <v>1.0063205610066775E-5</v>
      </c>
      <c r="K2984" s="4">
        <f t="shared" si="1630"/>
        <v>1.0063205610066775E-5</v>
      </c>
      <c r="L2984" s="4">
        <f t="shared" si="1630"/>
        <v>1.0063205610066775E-5</v>
      </c>
      <c r="M2984" s="4">
        <f t="shared" si="1630"/>
        <v>1.0063205610066775E-5</v>
      </c>
      <c r="N2984" t="s">
        <v>256</v>
      </c>
      <c r="O2984" t="s">
        <v>354</v>
      </c>
      <c r="P2984" t="s">
        <v>424</v>
      </c>
      <c r="Q2984" s="4" t="s">
        <v>245</v>
      </c>
    </row>
    <row r="2985" spans="1:17" x14ac:dyDescent="0.25">
      <c r="A2985" t="s">
        <v>424</v>
      </c>
      <c r="B2985" t="s">
        <v>137</v>
      </c>
      <c r="C2985" s="4">
        <f t="shared" ref="C2985:M2985" si="1631">(0.0900940072589024/(0.0900940072589024+0.00396421732885982+0.0572052587068733+0.752028927432513)) * 0.176261364726538%</f>
        <v>1.7580234799441431E-4</v>
      </c>
      <c r="D2985" s="4">
        <f t="shared" si="1631"/>
        <v>1.7580234799441431E-4</v>
      </c>
      <c r="E2985" s="4">
        <f t="shared" si="1631"/>
        <v>1.7580234799441431E-4</v>
      </c>
      <c r="F2985" s="4">
        <f t="shared" si="1631"/>
        <v>1.7580234799441431E-4</v>
      </c>
      <c r="G2985" s="4">
        <f t="shared" si="1631"/>
        <v>1.7580234799441431E-4</v>
      </c>
      <c r="H2985" s="4">
        <f t="shared" si="1631"/>
        <v>1.7580234799441431E-4</v>
      </c>
      <c r="I2985" s="4">
        <f t="shared" si="1631"/>
        <v>1.7580234799441431E-4</v>
      </c>
      <c r="J2985" s="4">
        <f t="shared" si="1631"/>
        <v>1.7580234799441431E-4</v>
      </c>
      <c r="K2985" s="4">
        <f t="shared" si="1631"/>
        <v>1.7580234799441431E-4</v>
      </c>
      <c r="L2985" s="4">
        <f t="shared" si="1631"/>
        <v>1.7580234799441431E-4</v>
      </c>
      <c r="M2985" s="4">
        <f t="shared" si="1631"/>
        <v>1.7580234799441431E-4</v>
      </c>
      <c r="N2985" t="s">
        <v>242</v>
      </c>
      <c r="O2985" t="s">
        <v>358</v>
      </c>
      <c r="P2985" t="s">
        <v>424</v>
      </c>
      <c r="Q2985" s="4" t="s">
        <v>245</v>
      </c>
    </row>
    <row r="2986" spans="1:17" x14ac:dyDescent="0.25">
      <c r="A2986" t="s">
        <v>424</v>
      </c>
      <c r="B2986" t="s">
        <v>137</v>
      </c>
      <c r="C2986" s="4">
        <f t="shared" ref="C2986:M2986" si="1632">(0.00396421732885982/(0.0900940072589024+0.00396421732885982+0.0572052587068733+0.752028927432513))  * 0.176261364726538%</f>
        <v>7.7354613872482362E-6</v>
      </c>
      <c r="D2986" s="4">
        <f t="shared" si="1632"/>
        <v>7.7354613872482362E-6</v>
      </c>
      <c r="E2986" s="4">
        <f t="shared" si="1632"/>
        <v>7.7354613872482362E-6</v>
      </c>
      <c r="F2986" s="4">
        <f t="shared" si="1632"/>
        <v>7.7354613872482362E-6</v>
      </c>
      <c r="G2986" s="4">
        <f t="shared" si="1632"/>
        <v>7.7354613872482362E-6</v>
      </c>
      <c r="H2986" s="4">
        <f t="shared" si="1632"/>
        <v>7.7354613872482362E-6</v>
      </c>
      <c r="I2986" s="4">
        <f t="shared" si="1632"/>
        <v>7.7354613872482362E-6</v>
      </c>
      <c r="J2986" s="4">
        <f t="shared" si="1632"/>
        <v>7.7354613872482362E-6</v>
      </c>
      <c r="K2986" s="4">
        <f t="shared" si="1632"/>
        <v>7.7354613872482362E-6</v>
      </c>
      <c r="L2986" s="4">
        <f t="shared" si="1632"/>
        <v>7.7354613872482362E-6</v>
      </c>
      <c r="M2986" s="4">
        <f t="shared" si="1632"/>
        <v>7.7354613872482362E-6</v>
      </c>
      <c r="N2986" t="s">
        <v>256</v>
      </c>
      <c r="O2986" t="s">
        <v>353</v>
      </c>
      <c r="P2986" t="s">
        <v>424</v>
      </c>
      <c r="Q2986" s="4" t="s">
        <v>245</v>
      </c>
    </row>
    <row r="2987" spans="1:17" x14ac:dyDescent="0.25">
      <c r="A2987" t="s">
        <v>424</v>
      </c>
      <c r="B2987" t="s">
        <v>137</v>
      </c>
      <c r="C2987" s="4">
        <f t="shared" ref="C2987:M2987" si="1633">(0.0572052587068733/(0.0900940072589024+0.00396421732885982+0.0572052587068733+0.752028927432513)) * 0.176261364726538%</f>
        <v>1.1162583510572508E-4</v>
      </c>
      <c r="D2987" s="4">
        <f t="shared" si="1633"/>
        <v>1.1162583510572508E-4</v>
      </c>
      <c r="E2987" s="4">
        <f t="shared" si="1633"/>
        <v>1.1162583510572508E-4</v>
      </c>
      <c r="F2987" s="4">
        <f t="shared" si="1633"/>
        <v>1.1162583510572508E-4</v>
      </c>
      <c r="G2987" s="4">
        <f t="shared" si="1633"/>
        <v>1.1162583510572508E-4</v>
      </c>
      <c r="H2987" s="4">
        <f t="shared" si="1633"/>
        <v>1.1162583510572508E-4</v>
      </c>
      <c r="I2987" s="4">
        <f t="shared" si="1633"/>
        <v>1.1162583510572508E-4</v>
      </c>
      <c r="J2987" s="4">
        <f t="shared" si="1633"/>
        <v>1.1162583510572508E-4</v>
      </c>
      <c r="K2987" s="4">
        <f t="shared" si="1633"/>
        <v>1.1162583510572508E-4</v>
      </c>
      <c r="L2987" s="4">
        <f t="shared" si="1633"/>
        <v>1.1162583510572508E-4</v>
      </c>
      <c r="M2987" s="4">
        <f t="shared" si="1633"/>
        <v>1.1162583510572508E-4</v>
      </c>
      <c r="N2987" t="s">
        <v>256</v>
      </c>
      <c r="O2987" t="s">
        <v>280</v>
      </c>
      <c r="P2987" t="s">
        <v>424</v>
      </c>
      <c r="Q2987" s="4" t="s">
        <v>245</v>
      </c>
    </row>
    <row r="2988" spans="1:17" x14ac:dyDescent="0.25">
      <c r="A2988" t="s">
        <v>424</v>
      </c>
      <c r="B2988" t="s">
        <v>137</v>
      </c>
      <c r="C2988" s="4">
        <f t="shared" ref="C2988:M2988" si="1634">(0.752028927432513/(0.0900940072589024+0.00396421732885982+0.0572052587068733+0.752028927432513)) * 0.176261364726538%</f>
        <v>1.4674500027779926E-3</v>
      </c>
      <c r="D2988" s="4">
        <f t="shared" si="1634"/>
        <v>1.4674500027779926E-3</v>
      </c>
      <c r="E2988" s="4">
        <f t="shared" si="1634"/>
        <v>1.4674500027779926E-3</v>
      </c>
      <c r="F2988" s="4">
        <f t="shared" si="1634"/>
        <v>1.4674500027779926E-3</v>
      </c>
      <c r="G2988" s="4">
        <f t="shared" si="1634"/>
        <v>1.4674500027779926E-3</v>
      </c>
      <c r="H2988" s="4">
        <f t="shared" si="1634"/>
        <v>1.4674500027779926E-3</v>
      </c>
      <c r="I2988" s="4">
        <f t="shared" si="1634"/>
        <v>1.4674500027779926E-3</v>
      </c>
      <c r="J2988" s="4">
        <f t="shared" si="1634"/>
        <v>1.4674500027779926E-3</v>
      </c>
      <c r="K2988" s="4">
        <f t="shared" si="1634"/>
        <v>1.4674500027779926E-3</v>
      </c>
      <c r="L2988" s="4">
        <f t="shared" si="1634"/>
        <v>1.4674500027779926E-3</v>
      </c>
      <c r="M2988" s="4">
        <f t="shared" si="1634"/>
        <v>1.4674500027779926E-3</v>
      </c>
      <c r="N2988" t="s">
        <v>256</v>
      </c>
      <c r="O2988" t="s">
        <v>354</v>
      </c>
      <c r="P2988" t="s">
        <v>424</v>
      </c>
      <c r="Q2988" s="4" t="s">
        <v>245</v>
      </c>
    </row>
    <row r="2989" spans="1:17" x14ac:dyDescent="0.25">
      <c r="A2989" t="s">
        <v>424</v>
      </c>
      <c r="B2989" t="s">
        <v>121</v>
      </c>
      <c r="C2989" s="4">
        <f t="shared" ref="C2989:M2989" si="1635">(0.0900940072589024/(0.0900940072589024+0.00396421732885982+0.0572052587068733+0.752028927432513)) * 0.321330535043229%</f>
        <v>3.2049373174061112E-4</v>
      </c>
      <c r="D2989" s="4">
        <f t="shared" si="1635"/>
        <v>3.2049373174061112E-4</v>
      </c>
      <c r="E2989" s="4">
        <f t="shared" si="1635"/>
        <v>3.2049373174061112E-4</v>
      </c>
      <c r="F2989" s="4">
        <f t="shared" si="1635"/>
        <v>3.2049373174061112E-4</v>
      </c>
      <c r="G2989" s="4">
        <f t="shared" si="1635"/>
        <v>3.2049373174061112E-4</v>
      </c>
      <c r="H2989" s="4">
        <f t="shared" si="1635"/>
        <v>3.2049373174061112E-4</v>
      </c>
      <c r="I2989" s="4">
        <f t="shared" si="1635"/>
        <v>3.2049373174061112E-4</v>
      </c>
      <c r="J2989" s="4">
        <f t="shared" si="1635"/>
        <v>3.2049373174061112E-4</v>
      </c>
      <c r="K2989" s="4">
        <f t="shared" si="1635"/>
        <v>3.2049373174061112E-4</v>
      </c>
      <c r="L2989" s="4">
        <f t="shared" si="1635"/>
        <v>3.2049373174061112E-4</v>
      </c>
      <c r="M2989" s="4">
        <f t="shared" si="1635"/>
        <v>3.2049373174061112E-4</v>
      </c>
      <c r="N2989" t="s">
        <v>242</v>
      </c>
      <c r="O2989" t="s">
        <v>358</v>
      </c>
      <c r="P2989" t="s">
        <v>424</v>
      </c>
      <c r="Q2989" s="4" t="s">
        <v>245</v>
      </c>
    </row>
    <row r="2990" spans="1:17" x14ac:dyDescent="0.25">
      <c r="A2990" t="s">
        <v>424</v>
      </c>
      <c r="B2990" t="s">
        <v>121</v>
      </c>
      <c r="C2990" s="4">
        <f t="shared" ref="C2990:M2990" si="1636">(0.00396421732885982/(0.0900940072589024+0.00396421732885982+0.0572052587068733+0.752028927432513))  * 0.321330535043229%</f>
        <v>1.4102012373653627E-5</v>
      </c>
      <c r="D2990" s="4">
        <f t="shared" si="1636"/>
        <v>1.4102012373653627E-5</v>
      </c>
      <c r="E2990" s="4">
        <f t="shared" si="1636"/>
        <v>1.4102012373653627E-5</v>
      </c>
      <c r="F2990" s="4">
        <f t="shared" si="1636"/>
        <v>1.4102012373653627E-5</v>
      </c>
      <c r="G2990" s="4">
        <f t="shared" si="1636"/>
        <v>1.4102012373653627E-5</v>
      </c>
      <c r="H2990" s="4">
        <f t="shared" si="1636"/>
        <v>1.4102012373653627E-5</v>
      </c>
      <c r="I2990" s="4">
        <f t="shared" si="1636"/>
        <v>1.4102012373653627E-5</v>
      </c>
      <c r="J2990" s="4">
        <f t="shared" si="1636"/>
        <v>1.4102012373653627E-5</v>
      </c>
      <c r="K2990" s="4">
        <f t="shared" si="1636"/>
        <v>1.4102012373653627E-5</v>
      </c>
      <c r="L2990" s="4">
        <f t="shared" si="1636"/>
        <v>1.4102012373653627E-5</v>
      </c>
      <c r="M2990" s="4">
        <f t="shared" si="1636"/>
        <v>1.4102012373653627E-5</v>
      </c>
      <c r="N2990" t="s">
        <v>256</v>
      </c>
      <c r="O2990" t="s">
        <v>353</v>
      </c>
      <c r="P2990" t="s">
        <v>424</v>
      </c>
      <c r="Q2990" s="4" t="s">
        <v>245</v>
      </c>
    </row>
    <row r="2991" spans="1:17" x14ac:dyDescent="0.25">
      <c r="A2991" t="s">
        <v>424</v>
      </c>
      <c r="B2991" t="s">
        <v>121</v>
      </c>
      <c r="C2991" s="4">
        <f t="shared" ref="C2991:M2991" si="1637">(0.0572052587068733/(0.0900940072589024+0.00396421732885982+0.0572052587068733+0.752028927432513)) * 0.321330535043229%</f>
        <v>2.0349773970500452E-4</v>
      </c>
      <c r="D2991" s="4">
        <f t="shared" si="1637"/>
        <v>2.0349773970500452E-4</v>
      </c>
      <c r="E2991" s="4">
        <f t="shared" si="1637"/>
        <v>2.0349773970500452E-4</v>
      </c>
      <c r="F2991" s="4">
        <f t="shared" si="1637"/>
        <v>2.0349773970500452E-4</v>
      </c>
      <c r="G2991" s="4">
        <f t="shared" si="1637"/>
        <v>2.0349773970500452E-4</v>
      </c>
      <c r="H2991" s="4">
        <f t="shared" si="1637"/>
        <v>2.0349773970500452E-4</v>
      </c>
      <c r="I2991" s="4">
        <f t="shared" si="1637"/>
        <v>2.0349773970500452E-4</v>
      </c>
      <c r="J2991" s="4">
        <f t="shared" si="1637"/>
        <v>2.0349773970500452E-4</v>
      </c>
      <c r="K2991" s="4">
        <f t="shared" si="1637"/>
        <v>2.0349773970500452E-4</v>
      </c>
      <c r="L2991" s="4">
        <f t="shared" si="1637"/>
        <v>2.0349773970500452E-4</v>
      </c>
      <c r="M2991" s="4">
        <f t="shared" si="1637"/>
        <v>2.0349773970500452E-4</v>
      </c>
      <c r="N2991" t="s">
        <v>256</v>
      </c>
      <c r="O2991" t="s">
        <v>280</v>
      </c>
      <c r="P2991" t="s">
        <v>424</v>
      </c>
      <c r="Q2991" s="4" t="s">
        <v>245</v>
      </c>
    </row>
    <row r="2992" spans="1:17" x14ac:dyDescent="0.25">
      <c r="A2992" t="s">
        <v>424</v>
      </c>
      <c r="B2992" t="s">
        <v>121</v>
      </c>
      <c r="C2992" s="4">
        <f t="shared" ref="C2992:M2992" si="1638">(0.752028927432513/(0.0900940072589024+0.00396421732885982+0.0572052587068733+0.752028927432513)) * 0.321330535043229%</f>
        <v>2.6752118666130207E-3</v>
      </c>
      <c r="D2992" s="4">
        <f t="shared" si="1638"/>
        <v>2.6752118666130207E-3</v>
      </c>
      <c r="E2992" s="4">
        <f t="shared" si="1638"/>
        <v>2.6752118666130207E-3</v>
      </c>
      <c r="F2992" s="4">
        <f t="shared" si="1638"/>
        <v>2.6752118666130207E-3</v>
      </c>
      <c r="G2992" s="4">
        <f t="shared" si="1638"/>
        <v>2.6752118666130207E-3</v>
      </c>
      <c r="H2992" s="4">
        <f t="shared" si="1638"/>
        <v>2.6752118666130207E-3</v>
      </c>
      <c r="I2992" s="4">
        <f t="shared" si="1638"/>
        <v>2.6752118666130207E-3</v>
      </c>
      <c r="J2992" s="4">
        <f t="shared" si="1638"/>
        <v>2.6752118666130207E-3</v>
      </c>
      <c r="K2992" s="4">
        <f t="shared" si="1638"/>
        <v>2.6752118666130207E-3</v>
      </c>
      <c r="L2992" s="4">
        <f t="shared" si="1638"/>
        <v>2.6752118666130207E-3</v>
      </c>
      <c r="M2992" s="4">
        <f t="shared" si="1638"/>
        <v>2.6752118666130207E-3</v>
      </c>
      <c r="N2992" t="s">
        <v>256</v>
      </c>
      <c r="O2992" t="s">
        <v>354</v>
      </c>
      <c r="P2992" t="s">
        <v>424</v>
      </c>
      <c r="Q2992" s="4" t="s">
        <v>245</v>
      </c>
    </row>
    <row r="2993" spans="1:17" x14ac:dyDescent="0.25">
      <c r="A2993" t="s">
        <v>424</v>
      </c>
      <c r="B2993" t="s">
        <v>157</v>
      </c>
      <c r="C2993" s="4">
        <f t="shared" ref="C2993:M2993" si="1639">(0.0900940072589024/(0.0900940072589024+0.00396421732885982+0.0572052587068733+0.752028927432513)) * 0.00587119559735481%</f>
        <v>5.8559059335028483E-6</v>
      </c>
      <c r="D2993" s="4">
        <f t="shared" si="1639"/>
        <v>5.8559059335028483E-6</v>
      </c>
      <c r="E2993" s="4">
        <f t="shared" si="1639"/>
        <v>5.8559059335028483E-6</v>
      </c>
      <c r="F2993" s="4">
        <f t="shared" si="1639"/>
        <v>5.8559059335028483E-6</v>
      </c>
      <c r="G2993" s="4">
        <f t="shared" si="1639"/>
        <v>5.8559059335028483E-6</v>
      </c>
      <c r="H2993" s="4">
        <f t="shared" si="1639"/>
        <v>5.8559059335028483E-6</v>
      </c>
      <c r="I2993" s="4">
        <f t="shared" si="1639"/>
        <v>5.8559059335028483E-6</v>
      </c>
      <c r="J2993" s="4">
        <f t="shared" si="1639"/>
        <v>5.8559059335028483E-6</v>
      </c>
      <c r="K2993" s="4">
        <f t="shared" si="1639"/>
        <v>5.8559059335028483E-6</v>
      </c>
      <c r="L2993" s="4">
        <f t="shared" si="1639"/>
        <v>5.8559059335028483E-6</v>
      </c>
      <c r="M2993" s="4">
        <f t="shared" si="1639"/>
        <v>5.8559059335028483E-6</v>
      </c>
      <c r="N2993" t="s">
        <v>242</v>
      </c>
      <c r="O2993" t="s">
        <v>358</v>
      </c>
      <c r="P2993" t="s">
        <v>424</v>
      </c>
      <c r="Q2993" s="4" t="s">
        <v>245</v>
      </c>
    </row>
    <row r="2994" spans="1:17" x14ac:dyDescent="0.25">
      <c r="A2994" t="s">
        <v>424</v>
      </c>
      <c r="B2994" t="s">
        <v>157</v>
      </c>
      <c r="C2994" s="4">
        <f t="shared" ref="C2994:M2994" si="1640">(0.00396421732885982/(0.0900940072589024+0.00396421732885982+0.0572052587068733+0.752028927432513))  * 0.00587119559735481%</f>
        <v>2.5766512650563886E-7</v>
      </c>
      <c r="D2994" s="4">
        <f t="shared" si="1640"/>
        <v>2.5766512650563886E-7</v>
      </c>
      <c r="E2994" s="4">
        <f t="shared" si="1640"/>
        <v>2.5766512650563886E-7</v>
      </c>
      <c r="F2994" s="4">
        <f t="shared" si="1640"/>
        <v>2.5766512650563886E-7</v>
      </c>
      <c r="G2994" s="4">
        <f t="shared" si="1640"/>
        <v>2.5766512650563886E-7</v>
      </c>
      <c r="H2994" s="4">
        <f t="shared" si="1640"/>
        <v>2.5766512650563886E-7</v>
      </c>
      <c r="I2994" s="4">
        <f t="shared" si="1640"/>
        <v>2.5766512650563886E-7</v>
      </c>
      <c r="J2994" s="4">
        <f t="shared" si="1640"/>
        <v>2.5766512650563886E-7</v>
      </c>
      <c r="K2994" s="4">
        <f t="shared" si="1640"/>
        <v>2.5766512650563886E-7</v>
      </c>
      <c r="L2994" s="4">
        <f t="shared" si="1640"/>
        <v>2.5766512650563886E-7</v>
      </c>
      <c r="M2994" s="4">
        <f t="shared" si="1640"/>
        <v>2.5766512650563886E-7</v>
      </c>
      <c r="N2994" t="s">
        <v>256</v>
      </c>
      <c r="O2994" t="s">
        <v>353</v>
      </c>
      <c r="P2994" t="s">
        <v>424</v>
      </c>
      <c r="Q2994" s="4" t="s">
        <v>245</v>
      </c>
    </row>
    <row r="2995" spans="1:17" x14ac:dyDescent="0.25">
      <c r="A2995" t="s">
        <v>424</v>
      </c>
      <c r="B2995" t="s">
        <v>157</v>
      </c>
      <c r="C2995" s="4">
        <f t="shared" ref="C2995:M2995" si="1641">(0.0572052587068733/(0.0900940072589024+0.00396421732885982+0.0572052587068733+0.752028927432513)) * 0.00587119559735481%</f>
        <v>3.7182119441806022E-6</v>
      </c>
      <c r="D2995" s="4">
        <f t="shared" si="1641"/>
        <v>3.7182119441806022E-6</v>
      </c>
      <c r="E2995" s="4">
        <f t="shared" si="1641"/>
        <v>3.7182119441806022E-6</v>
      </c>
      <c r="F2995" s="4">
        <f t="shared" si="1641"/>
        <v>3.7182119441806022E-6</v>
      </c>
      <c r="G2995" s="4">
        <f t="shared" si="1641"/>
        <v>3.7182119441806022E-6</v>
      </c>
      <c r="H2995" s="4">
        <f t="shared" si="1641"/>
        <v>3.7182119441806022E-6</v>
      </c>
      <c r="I2995" s="4">
        <f t="shared" si="1641"/>
        <v>3.7182119441806022E-6</v>
      </c>
      <c r="J2995" s="4">
        <f t="shared" si="1641"/>
        <v>3.7182119441806022E-6</v>
      </c>
      <c r="K2995" s="4">
        <f t="shared" si="1641"/>
        <v>3.7182119441806022E-6</v>
      </c>
      <c r="L2995" s="4">
        <f t="shared" si="1641"/>
        <v>3.7182119441806022E-6</v>
      </c>
      <c r="M2995" s="4">
        <f t="shared" si="1641"/>
        <v>3.7182119441806022E-6</v>
      </c>
      <c r="N2995" t="s">
        <v>256</v>
      </c>
      <c r="O2995" t="s">
        <v>280</v>
      </c>
      <c r="P2995" t="s">
        <v>424</v>
      </c>
      <c r="Q2995" s="4" t="s">
        <v>245</v>
      </c>
    </row>
    <row r="2996" spans="1:17" x14ac:dyDescent="0.25">
      <c r="A2996" t="s">
        <v>424</v>
      </c>
      <c r="B2996" t="s">
        <v>157</v>
      </c>
      <c r="C2996" s="4">
        <f t="shared" ref="C2996:M2996" si="1642">(0.752028927432513/(0.0900940072589024+0.00396421732885982+0.0572052587068733+0.752028927432513)) * 0.00587119559735481%</f>
        <v>4.888017296935901E-5</v>
      </c>
      <c r="D2996" s="4">
        <f t="shared" si="1642"/>
        <v>4.888017296935901E-5</v>
      </c>
      <c r="E2996" s="4">
        <f t="shared" si="1642"/>
        <v>4.888017296935901E-5</v>
      </c>
      <c r="F2996" s="4">
        <f t="shared" si="1642"/>
        <v>4.888017296935901E-5</v>
      </c>
      <c r="G2996" s="4">
        <f t="shared" si="1642"/>
        <v>4.888017296935901E-5</v>
      </c>
      <c r="H2996" s="4">
        <f t="shared" si="1642"/>
        <v>4.888017296935901E-5</v>
      </c>
      <c r="I2996" s="4">
        <f t="shared" si="1642"/>
        <v>4.888017296935901E-5</v>
      </c>
      <c r="J2996" s="4">
        <f t="shared" si="1642"/>
        <v>4.888017296935901E-5</v>
      </c>
      <c r="K2996" s="4">
        <f t="shared" si="1642"/>
        <v>4.888017296935901E-5</v>
      </c>
      <c r="L2996" s="4">
        <f t="shared" si="1642"/>
        <v>4.888017296935901E-5</v>
      </c>
      <c r="M2996" s="4">
        <f t="shared" si="1642"/>
        <v>4.888017296935901E-5</v>
      </c>
      <c r="N2996" t="s">
        <v>256</v>
      </c>
      <c r="O2996" t="s">
        <v>354</v>
      </c>
      <c r="P2996" t="s">
        <v>424</v>
      </c>
      <c r="Q2996" s="4" t="s">
        <v>245</v>
      </c>
    </row>
    <row r="2997" spans="1:17" x14ac:dyDescent="0.25">
      <c r="A2997" t="s">
        <v>424</v>
      </c>
      <c r="B2997" t="s">
        <v>138</v>
      </c>
      <c r="C2997" s="4">
        <v>1.5856440695699098E-2</v>
      </c>
      <c r="D2997" s="4">
        <v>1.5856440695699098E-2</v>
      </c>
      <c r="E2997" s="4">
        <v>1.5856440695699098E-2</v>
      </c>
      <c r="F2997" s="4">
        <v>1.5856440695699098E-2</v>
      </c>
      <c r="G2997" s="4">
        <v>1.5856440695699098E-2</v>
      </c>
      <c r="H2997" s="4">
        <v>1.5856440695699098E-2</v>
      </c>
      <c r="I2997" s="4">
        <v>1.5856440695699098E-2</v>
      </c>
      <c r="J2997" s="4">
        <v>1.5856440695699098E-2</v>
      </c>
      <c r="K2997" s="4">
        <v>1.5856440695699098E-2</v>
      </c>
      <c r="L2997" s="4">
        <v>1.5856440695699098E-2</v>
      </c>
      <c r="M2997" s="4">
        <v>1.5856440695699098E-2</v>
      </c>
      <c r="N2997" t="s">
        <v>313</v>
      </c>
      <c r="O2997" t="s">
        <v>336</v>
      </c>
      <c r="P2997" t="s">
        <v>424</v>
      </c>
      <c r="Q2997" s="4" t="s">
        <v>245</v>
      </c>
    </row>
    <row r="2998" spans="1:17" x14ac:dyDescent="0.25">
      <c r="A2998" t="s">
        <v>424</v>
      </c>
      <c r="B2998" t="s">
        <v>139</v>
      </c>
      <c r="C2998" s="4">
        <f t="shared" ref="C2998:M2998" si="1643">(0.0900940072589024/(0.0900940072589024+0.00396421732885982+0.0572052587068733+0.752028927432513)) * 0.0302366573263773%</f>
        <v>3.0157915557539701E-5</v>
      </c>
      <c r="D2998" s="4">
        <f t="shared" si="1643"/>
        <v>3.0157915557539701E-5</v>
      </c>
      <c r="E2998" s="4">
        <f t="shared" si="1643"/>
        <v>3.0157915557539701E-5</v>
      </c>
      <c r="F2998" s="4">
        <f t="shared" si="1643"/>
        <v>3.0157915557539701E-5</v>
      </c>
      <c r="G2998" s="4">
        <f t="shared" si="1643"/>
        <v>3.0157915557539701E-5</v>
      </c>
      <c r="H2998" s="4">
        <f t="shared" si="1643"/>
        <v>3.0157915557539701E-5</v>
      </c>
      <c r="I2998" s="4">
        <f t="shared" si="1643"/>
        <v>3.0157915557539701E-5</v>
      </c>
      <c r="J2998" s="4">
        <f t="shared" si="1643"/>
        <v>3.0157915557539701E-5</v>
      </c>
      <c r="K2998" s="4">
        <f t="shared" si="1643"/>
        <v>3.0157915557539701E-5</v>
      </c>
      <c r="L2998" s="4">
        <f t="shared" si="1643"/>
        <v>3.0157915557539701E-5</v>
      </c>
      <c r="M2998" s="4">
        <f t="shared" si="1643"/>
        <v>3.0157915557539701E-5</v>
      </c>
      <c r="N2998" t="s">
        <v>242</v>
      </c>
      <c r="O2998" t="s">
        <v>358</v>
      </c>
      <c r="P2998" t="s">
        <v>424</v>
      </c>
      <c r="Q2998" s="4" t="s">
        <v>245</v>
      </c>
    </row>
    <row r="2999" spans="1:17" x14ac:dyDescent="0.25">
      <c r="A2999" t="s">
        <v>424</v>
      </c>
      <c r="B2999" t="s">
        <v>139</v>
      </c>
      <c r="C2999" s="4">
        <f t="shared" ref="C2999:M2999" si="1644">(0.00396421732885982/(0.0900940072589024+0.00396421732885982+0.0572052587068733+0.752028927432513))  * 0.0302366573263773%</f>
        <v>1.3269754015040418E-6</v>
      </c>
      <c r="D2999" s="4">
        <f t="shared" si="1644"/>
        <v>1.3269754015040418E-6</v>
      </c>
      <c r="E2999" s="4">
        <f t="shared" si="1644"/>
        <v>1.3269754015040418E-6</v>
      </c>
      <c r="F2999" s="4">
        <f t="shared" si="1644"/>
        <v>1.3269754015040418E-6</v>
      </c>
      <c r="G2999" s="4">
        <f t="shared" si="1644"/>
        <v>1.3269754015040418E-6</v>
      </c>
      <c r="H2999" s="4">
        <f t="shared" si="1644"/>
        <v>1.3269754015040418E-6</v>
      </c>
      <c r="I2999" s="4">
        <f t="shared" si="1644"/>
        <v>1.3269754015040418E-6</v>
      </c>
      <c r="J2999" s="4">
        <f t="shared" si="1644"/>
        <v>1.3269754015040418E-6</v>
      </c>
      <c r="K2999" s="4">
        <f t="shared" si="1644"/>
        <v>1.3269754015040418E-6</v>
      </c>
      <c r="L2999" s="4">
        <f t="shared" si="1644"/>
        <v>1.3269754015040418E-6</v>
      </c>
      <c r="M2999" s="4">
        <f t="shared" si="1644"/>
        <v>1.3269754015040418E-6</v>
      </c>
      <c r="N2999" t="s">
        <v>256</v>
      </c>
      <c r="O2999" t="s">
        <v>353</v>
      </c>
      <c r="P2999" t="s">
        <v>424</v>
      </c>
      <c r="Q2999" s="4" t="s">
        <v>245</v>
      </c>
    </row>
    <row r="3000" spans="1:17" x14ac:dyDescent="0.25">
      <c r="A3000" t="s">
        <v>424</v>
      </c>
      <c r="B3000" t="s">
        <v>139</v>
      </c>
      <c r="C3000" s="4">
        <f t="shared" ref="C3000:M3000" si="1645">(0.0572052587068733/(0.0900940072589024+0.00396421732885982+0.0572052587068733+0.752028927432513)) * 0.0302366573263773%</f>
        <v>1.914879151253012E-5</v>
      </c>
      <c r="D3000" s="4">
        <f t="shared" si="1645"/>
        <v>1.914879151253012E-5</v>
      </c>
      <c r="E3000" s="4">
        <f t="shared" si="1645"/>
        <v>1.914879151253012E-5</v>
      </c>
      <c r="F3000" s="4">
        <f t="shared" si="1645"/>
        <v>1.914879151253012E-5</v>
      </c>
      <c r="G3000" s="4">
        <f t="shared" si="1645"/>
        <v>1.914879151253012E-5</v>
      </c>
      <c r="H3000" s="4">
        <f t="shared" si="1645"/>
        <v>1.914879151253012E-5</v>
      </c>
      <c r="I3000" s="4">
        <f t="shared" si="1645"/>
        <v>1.914879151253012E-5</v>
      </c>
      <c r="J3000" s="4">
        <f t="shared" si="1645"/>
        <v>1.914879151253012E-5</v>
      </c>
      <c r="K3000" s="4">
        <f t="shared" si="1645"/>
        <v>1.914879151253012E-5</v>
      </c>
      <c r="L3000" s="4">
        <f t="shared" si="1645"/>
        <v>1.914879151253012E-5</v>
      </c>
      <c r="M3000" s="4">
        <f t="shared" si="1645"/>
        <v>1.914879151253012E-5</v>
      </c>
      <c r="N3000" t="s">
        <v>256</v>
      </c>
      <c r="O3000" t="s">
        <v>280</v>
      </c>
      <c r="P3000" t="s">
        <v>424</v>
      </c>
      <c r="Q3000" s="4" t="s">
        <v>245</v>
      </c>
    </row>
    <row r="3001" spans="1:17" x14ac:dyDescent="0.25">
      <c r="A3001" t="s">
        <v>424</v>
      </c>
      <c r="B3001" t="s">
        <v>139</v>
      </c>
      <c r="C3001" s="4">
        <f t="shared" ref="C3001:M3001" si="1646">(0.752028927432513/(0.0900940072589024+0.00396421732885982+0.0572052587068733+0.752028927432513)) * 0.0302366573263773%</f>
        <v>2.5173289079219918E-4</v>
      </c>
      <c r="D3001" s="4">
        <f t="shared" si="1646"/>
        <v>2.5173289079219918E-4</v>
      </c>
      <c r="E3001" s="4">
        <f t="shared" si="1646"/>
        <v>2.5173289079219918E-4</v>
      </c>
      <c r="F3001" s="4">
        <f t="shared" si="1646"/>
        <v>2.5173289079219918E-4</v>
      </c>
      <c r="G3001" s="4">
        <f t="shared" si="1646"/>
        <v>2.5173289079219918E-4</v>
      </c>
      <c r="H3001" s="4">
        <f t="shared" si="1646"/>
        <v>2.5173289079219918E-4</v>
      </c>
      <c r="I3001" s="4">
        <f t="shared" si="1646"/>
        <v>2.5173289079219918E-4</v>
      </c>
      <c r="J3001" s="4">
        <f t="shared" si="1646"/>
        <v>2.5173289079219918E-4</v>
      </c>
      <c r="K3001" s="4">
        <f t="shared" si="1646"/>
        <v>2.5173289079219918E-4</v>
      </c>
      <c r="L3001" s="4">
        <f t="shared" si="1646"/>
        <v>2.5173289079219918E-4</v>
      </c>
      <c r="M3001" s="4">
        <f t="shared" si="1646"/>
        <v>2.5173289079219918E-4</v>
      </c>
      <c r="N3001" t="s">
        <v>256</v>
      </c>
      <c r="O3001" t="s">
        <v>354</v>
      </c>
      <c r="P3001" t="s">
        <v>424</v>
      </c>
      <c r="Q3001" s="4" t="s">
        <v>245</v>
      </c>
    </row>
    <row r="3002" spans="1:17" x14ac:dyDescent="0.25">
      <c r="A3002" t="s">
        <v>424</v>
      </c>
      <c r="B3002" t="s">
        <v>111</v>
      </c>
      <c r="C3002" s="4">
        <f t="shared" ref="C3002:M3002" si="1647">(0.0900940072589024/(0.0900940072589024+0.00396421732885982+0.0572052587068733+0.752028927432513)) * 0.0426175410422993%</f>
        <v>4.2506557194813871E-5</v>
      </c>
      <c r="D3002" s="4">
        <f t="shared" si="1647"/>
        <v>4.2506557194813871E-5</v>
      </c>
      <c r="E3002" s="4">
        <f t="shared" si="1647"/>
        <v>4.2506557194813871E-5</v>
      </c>
      <c r="F3002" s="4">
        <f t="shared" si="1647"/>
        <v>4.2506557194813871E-5</v>
      </c>
      <c r="G3002" s="4">
        <f t="shared" si="1647"/>
        <v>4.2506557194813871E-5</v>
      </c>
      <c r="H3002" s="4">
        <f t="shared" si="1647"/>
        <v>4.2506557194813871E-5</v>
      </c>
      <c r="I3002" s="4">
        <f t="shared" si="1647"/>
        <v>4.2506557194813871E-5</v>
      </c>
      <c r="J3002" s="4">
        <f t="shared" si="1647"/>
        <v>4.2506557194813871E-5</v>
      </c>
      <c r="K3002" s="4">
        <f t="shared" si="1647"/>
        <v>4.2506557194813871E-5</v>
      </c>
      <c r="L3002" s="4">
        <f t="shared" si="1647"/>
        <v>4.2506557194813871E-5</v>
      </c>
      <c r="M3002" s="4">
        <f t="shared" si="1647"/>
        <v>4.2506557194813871E-5</v>
      </c>
      <c r="N3002" t="s">
        <v>242</v>
      </c>
      <c r="O3002" t="s">
        <v>358</v>
      </c>
      <c r="P3002" t="s">
        <v>424</v>
      </c>
      <c r="Q3002" s="4" t="s">
        <v>245</v>
      </c>
    </row>
    <row r="3003" spans="1:17" x14ac:dyDescent="0.25">
      <c r="A3003" t="s">
        <v>424</v>
      </c>
      <c r="B3003" t="s">
        <v>111</v>
      </c>
      <c r="C3003" s="4">
        <f t="shared" ref="C3003:M3003" si="1648">(0.00396421732885982/(0.0900940072589024+0.00396421732885982+0.0572052587068733+0.752028927432513))  * 0.0426175410422993%</f>
        <v>1.8703267370228096E-6</v>
      </c>
      <c r="D3003" s="4">
        <f t="shared" si="1648"/>
        <v>1.8703267370228096E-6</v>
      </c>
      <c r="E3003" s="4">
        <f t="shared" si="1648"/>
        <v>1.8703267370228096E-6</v>
      </c>
      <c r="F3003" s="4">
        <f t="shared" si="1648"/>
        <v>1.8703267370228096E-6</v>
      </c>
      <c r="G3003" s="4">
        <f t="shared" si="1648"/>
        <v>1.8703267370228096E-6</v>
      </c>
      <c r="H3003" s="4">
        <f t="shared" si="1648"/>
        <v>1.8703267370228096E-6</v>
      </c>
      <c r="I3003" s="4">
        <f t="shared" si="1648"/>
        <v>1.8703267370228096E-6</v>
      </c>
      <c r="J3003" s="4">
        <f t="shared" si="1648"/>
        <v>1.8703267370228096E-6</v>
      </c>
      <c r="K3003" s="4">
        <f t="shared" si="1648"/>
        <v>1.8703267370228096E-6</v>
      </c>
      <c r="L3003" s="4">
        <f t="shared" si="1648"/>
        <v>1.8703267370228096E-6</v>
      </c>
      <c r="M3003" s="4">
        <f t="shared" si="1648"/>
        <v>1.8703267370228096E-6</v>
      </c>
      <c r="N3003" t="s">
        <v>256</v>
      </c>
      <c r="O3003" t="s">
        <v>353</v>
      </c>
      <c r="P3003" t="s">
        <v>424</v>
      </c>
      <c r="Q3003" s="4" t="s">
        <v>245</v>
      </c>
    </row>
    <row r="3004" spans="1:17" x14ac:dyDescent="0.25">
      <c r="A3004" t="s">
        <v>424</v>
      </c>
      <c r="B3004" t="s">
        <v>111</v>
      </c>
      <c r="C3004" s="4">
        <f t="shared" ref="C3004:M3004" si="1649">(0.0572052587068733/(0.0900940072589024+0.00396421732885982+0.0572052587068733+0.752028927432513)) * 0.0426175410422993%</f>
        <v>2.6989570949820993E-5</v>
      </c>
      <c r="D3004" s="4">
        <f t="shared" si="1649"/>
        <v>2.6989570949820993E-5</v>
      </c>
      <c r="E3004" s="4">
        <f t="shared" si="1649"/>
        <v>2.6989570949820993E-5</v>
      </c>
      <c r="F3004" s="4">
        <f t="shared" si="1649"/>
        <v>2.6989570949820993E-5</v>
      </c>
      <c r="G3004" s="4">
        <f t="shared" si="1649"/>
        <v>2.6989570949820993E-5</v>
      </c>
      <c r="H3004" s="4">
        <f t="shared" si="1649"/>
        <v>2.6989570949820993E-5</v>
      </c>
      <c r="I3004" s="4">
        <f t="shared" si="1649"/>
        <v>2.6989570949820993E-5</v>
      </c>
      <c r="J3004" s="4">
        <f t="shared" si="1649"/>
        <v>2.6989570949820993E-5</v>
      </c>
      <c r="K3004" s="4">
        <f t="shared" si="1649"/>
        <v>2.6989570949820993E-5</v>
      </c>
      <c r="L3004" s="4">
        <f t="shared" si="1649"/>
        <v>2.6989570949820993E-5</v>
      </c>
      <c r="M3004" s="4">
        <f t="shared" si="1649"/>
        <v>2.6989570949820993E-5</v>
      </c>
      <c r="N3004" t="s">
        <v>256</v>
      </c>
      <c r="O3004" t="s">
        <v>280</v>
      </c>
      <c r="P3004" t="s">
        <v>424</v>
      </c>
      <c r="Q3004" s="4" t="s">
        <v>245</v>
      </c>
    </row>
    <row r="3005" spans="1:17" x14ac:dyDescent="0.25">
      <c r="A3005" t="s">
        <v>424</v>
      </c>
      <c r="B3005" t="s">
        <v>111</v>
      </c>
      <c r="C3005" s="4">
        <f t="shared" ref="C3005:M3005" si="1650">(0.752028927432513/(0.0900940072589024+0.00396421732885982+0.0572052587068733+0.752028927432513)) * 0.0426175410422993%</f>
        <v>3.5480895554133537E-4</v>
      </c>
      <c r="D3005" s="4">
        <f t="shared" si="1650"/>
        <v>3.5480895554133537E-4</v>
      </c>
      <c r="E3005" s="4">
        <f t="shared" si="1650"/>
        <v>3.5480895554133537E-4</v>
      </c>
      <c r="F3005" s="4">
        <f t="shared" si="1650"/>
        <v>3.5480895554133537E-4</v>
      </c>
      <c r="G3005" s="4">
        <f t="shared" si="1650"/>
        <v>3.5480895554133537E-4</v>
      </c>
      <c r="H3005" s="4">
        <f t="shared" si="1650"/>
        <v>3.5480895554133537E-4</v>
      </c>
      <c r="I3005" s="4">
        <f t="shared" si="1650"/>
        <v>3.5480895554133537E-4</v>
      </c>
      <c r="J3005" s="4">
        <f t="shared" si="1650"/>
        <v>3.5480895554133537E-4</v>
      </c>
      <c r="K3005" s="4">
        <f t="shared" si="1650"/>
        <v>3.5480895554133537E-4</v>
      </c>
      <c r="L3005" s="4">
        <f t="shared" si="1650"/>
        <v>3.5480895554133537E-4</v>
      </c>
      <c r="M3005" s="4">
        <f t="shared" si="1650"/>
        <v>3.5480895554133537E-4</v>
      </c>
      <c r="N3005" t="s">
        <v>256</v>
      </c>
      <c r="O3005" t="s">
        <v>354</v>
      </c>
      <c r="P3005" t="s">
        <v>424</v>
      </c>
      <c r="Q3005" s="4" t="s">
        <v>245</v>
      </c>
    </row>
    <row r="3006" spans="1:17" x14ac:dyDescent="0.25">
      <c r="A3006" t="s">
        <v>424</v>
      </c>
      <c r="B3006" t="s">
        <v>112</v>
      </c>
      <c r="C3006" s="4">
        <f t="shared" ref="C3006:M3006" si="1651">(0.0900940072589024/(0.0900940072589024+0.00396421732885982+0.0572052587068733+0.752028927432513)) * 0.62509885625587%</f>
        <v>6.2347098485763142E-4</v>
      </c>
      <c r="D3006" s="4">
        <f t="shared" si="1651"/>
        <v>6.2347098485763142E-4</v>
      </c>
      <c r="E3006" s="4">
        <f t="shared" si="1651"/>
        <v>6.2347098485763142E-4</v>
      </c>
      <c r="F3006" s="4">
        <f t="shared" si="1651"/>
        <v>6.2347098485763142E-4</v>
      </c>
      <c r="G3006" s="4">
        <f t="shared" si="1651"/>
        <v>6.2347098485763142E-4</v>
      </c>
      <c r="H3006" s="4">
        <f t="shared" si="1651"/>
        <v>6.2347098485763142E-4</v>
      </c>
      <c r="I3006" s="4">
        <f t="shared" si="1651"/>
        <v>6.2347098485763142E-4</v>
      </c>
      <c r="J3006" s="4">
        <f t="shared" si="1651"/>
        <v>6.2347098485763142E-4</v>
      </c>
      <c r="K3006" s="4">
        <f t="shared" si="1651"/>
        <v>6.2347098485763142E-4</v>
      </c>
      <c r="L3006" s="4">
        <f t="shared" si="1651"/>
        <v>6.2347098485763142E-4</v>
      </c>
      <c r="M3006" s="4">
        <f t="shared" si="1651"/>
        <v>6.2347098485763142E-4</v>
      </c>
      <c r="N3006" t="s">
        <v>242</v>
      </c>
      <c r="O3006" t="s">
        <v>358</v>
      </c>
      <c r="P3006" t="s">
        <v>424</v>
      </c>
      <c r="Q3006" s="4" t="s">
        <v>245</v>
      </c>
    </row>
    <row r="3007" spans="1:17" x14ac:dyDescent="0.25">
      <c r="A3007" t="s">
        <v>424</v>
      </c>
      <c r="B3007" t="s">
        <v>112</v>
      </c>
      <c r="C3007" s="4">
        <f t="shared" ref="C3007:M3007" si="1652">(0.00396421732885982/(0.0900940072589024+0.00396421732885982+0.0572052587068733+0.752028927432513))  * 0.62509885625587%</f>
        <v>2.7433283937647245E-5</v>
      </c>
      <c r="D3007" s="4">
        <f t="shared" si="1652"/>
        <v>2.7433283937647245E-5</v>
      </c>
      <c r="E3007" s="4">
        <f t="shared" si="1652"/>
        <v>2.7433283937647245E-5</v>
      </c>
      <c r="F3007" s="4">
        <f t="shared" si="1652"/>
        <v>2.7433283937647245E-5</v>
      </c>
      <c r="G3007" s="4">
        <f t="shared" si="1652"/>
        <v>2.7433283937647245E-5</v>
      </c>
      <c r="H3007" s="4">
        <f t="shared" si="1652"/>
        <v>2.7433283937647245E-5</v>
      </c>
      <c r="I3007" s="4">
        <f t="shared" si="1652"/>
        <v>2.7433283937647245E-5</v>
      </c>
      <c r="J3007" s="4">
        <f t="shared" si="1652"/>
        <v>2.7433283937647245E-5</v>
      </c>
      <c r="K3007" s="4">
        <f t="shared" si="1652"/>
        <v>2.7433283937647245E-5</v>
      </c>
      <c r="L3007" s="4">
        <f t="shared" si="1652"/>
        <v>2.7433283937647245E-5</v>
      </c>
      <c r="M3007" s="4">
        <f t="shared" si="1652"/>
        <v>2.7433283937647245E-5</v>
      </c>
      <c r="N3007" t="s">
        <v>256</v>
      </c>
      <c r="O3007" t="s">
        <v>353</v>
      </c>
      <c r="P3007" t="s">
        <v>424</v>
      </c>
      <c r="Q3007" s="4" t="s">
        <v>245</v>
      </c>
    </row>
    <row r="3008" spans="1:17" x14ac:dyDescent="0.25">
      <c r="A3008" t="s">
        <v>424</v>
      </c>
      <c r="B3008" t="s">
        <v>112</v>
      </c>
      <c r="C3008" s="4">
        <f t="shared" ref="C3008:M3008" si="1653">(0.0572052587068733/(0.0900940072589024+0.00396421732885982+0.0572052587068733+0.752028927432513)) * 0.62509885625587%</f>
        <v>3.9587337793197855E-4</v>
      </c>
      <c r="D3008" s="4">
        <f t="shared" si="1653"/>
        <v>3.9587337793197855E-4</v>
      </c>
      <c r="E3008" s="4">
        <f t="shared" si="1653"/>
        <v>3.9587337793197855E-4</v>
      </c>
      <c r="F3008" s="4">
        <f t="shared" si="1653"/>
        <v>3.9587337793197855E-4</v>
      </c>
      <c r="G3008" s="4">
        <f t="shared" si="1653"/>
        <v>3.9587337793197855E-4</v>
      </c>
      <c r="H3008" s="4">
        <f t="shared" si="1653"/>
        <v>3.9587337793197855E-4</v>
      </c>
      <c r="I3008" s="4">
        <f t="shared" si="1653"/>
        <v>3.9587337793197855E-4</v>
      </c>
      <c r="J3008" s="4">
        <f t="shared" si="1653"/>
        <v>3.9587337793197855E-4</v>
      </c>
      <c r="K3008" s="4">
        <f t="shared" si="1653"/>
        <v>3.9587337793197855E-4</v>
      </c>
      <c r="L3008" s="4">
        <f t="shared" si="1653"/>
        <v>3.9587337793197855E-4</v>
      </c>
      <c r="M3008" s="4">
        <f t="shared" si="1653"/>
        <v>3.9587337793197855E-4</v>
      </c>
      <c r="N3008" t="s">
        <v>256</v>
      </c>
      <c r="O3008" t="s">
        <v>280</v>
      </c>
      <c r="P3008" t="s">
        <v>424</v>
      </c>
      <c r="Q3008" s="4" t="s">
        <v>245</v>
      </c>
    </row>
    <row r="3009" spans="1:17" x14ac:dyDescent="0.25">
      <c r="A3009" t="s">
        <v>424</v>
      </c>
      <c r="B3009" t="s">
        <v>112</v>
      </c>
      <c r="C3009" s="4">
        <f t="shared" ref="C3009:M3009" si="1654">(0.752028927432513/(0.0900940072589024+0.00396421732885982+0.0572052587068733+0.752028927432513)) * 0.62509885625587%</f>
        <v>5.2042109158314427E-3</v>
      </c>
      <c r="D3009" s="4">
        <f t="shared" si="1654"/>
        <v>5.2042109158314427E-3</v>
      </c>
      <c r="E3009" s="4">
        <f t="shared" si="1654"/>
        <v>5.2042109158314427E-3</v>
      </c>
      <c r="F3009" s="4">
        <f t="shared" si="1654"/>
        <v>5.2042109158314427E-3</v>
      </c>
      <c r="G3009" s="4">
        <f t="shared" si="1654"/>
        <v>5.2042109158314427E-3</v>
      </c>
      <c r="H3009" s="4">
        <f t="shared" si="1654"/>
        <v>5.2042109158314427E-3</v>
      </c>
      <c r="I3009" s="4">
        <f t="shared" si="1654"/>
        <v>5.2042109158314427E-3</v>
      </c>
      <c r="J3009" s="4">
        <f t="shared" si="1654"/>
        <v>5.2042109158314427E-3</v>
      </c>
      <c r="K3009" s="4">
        <f t="shared" si="1654"/>
        <v>5.2042109158314427E-3</v>
      </c>
      <c r="L3009" s="4">
        <f t="shared" si="1654"/>
        <v>5.2042109158314427E-3</v>
      </c>
      <c r="M3009" s="4">
        <f t="shared" si="1654"/>
        <v>5.2042109158314427E-3</v>
      </c>
      <c r="N3009" t="s">
        <v>256</v>
      </c>
      <c r="O3009" t="s">
        <v>354</v>
      </c>
      <c r="P3009" t="s">
        <v>424</v>
      </c>
      <c r="Q3009" s="4" t="s">
        <v>245</v>
      </c>
    </row>
    <row r="3010" spans="1:17" x14ac:dyDescent="0.25">
      <c r="A3010" t="s">
        <v>424</v>
      </c>
      <c r="B3010" t="s">
        <v>113</v>
      </c>
      <c r="C3010" s="4">
        <f t="shared" ref="C3010:M3010" si="1655">(0.0900940072589024/(0.0900940072589024+0.00396421732885982+0.0572052587068733+0.752028927432513)) * 3.65114976210503%</f>
        <v>3.6416415023970911E-3</v>
      </c>
      <c r="D3010" s="4">
        <f t="shared" si="1655"/>
        <v>3.6416415023970911E-3</v>
      </c>
      <c r="E3010" s="4">
        <f t="shared" si="1655"/>
        <v>3.6416415023970911E-3</v>
      </c>
      <c r="F3010" s="4">
        <f t="shared" si="1655"/>
        <v>3.6416415023970911E-3</v>
      </c>
      <c r="G3010" s="4">
        <f t="shared" si="1655"/>
        <v>3.6416415023970911E-3</v>
      </c>
      <c r="H3010" s="4">
        <f t="shared" si="1655"/>
        <v>3.6416415023970911E-3</v>
      </c>
      <c r="I3010" s="4">
        <f t="shared" si="1655"/>
        <v>3.6416415023970911E-3</v>
      </c>
      <c r="J3010" s="4">
        <f t="shared" si="1655"/>
        <v>3.6416415023970911E-3</v>
      </c>
      <c r="K3010" s="4">
        <f t="shared" si="1655"/>
        <v>3.6416415023970911E-3</v>
      </c>
      <c r="L3010" s="4">
        <f t="shared" si="1655"/>
        <v>3.6416415023970911E-3</v>
      </c>
      <c r="M3010" s="4">
        <f t="shared" si="1655"/>
        <v>3.6416415023970911E-3</v>
      </c>
      <c r="N3010" t="s">
        <v>242</v>
      </c>
      <c r="O3010" t="s">
        <v>358</v>
      </c>
      <c r="P3010" t="s">
        <v>424</v>
      </c>
      <c r="Q3010" s="4" t="s">
        <v>245</v>
      </c>
    </row>
    <row r="3011" spans="1:17" x14ac:dyDescent="0.25">
      <c r="A3011" t="s">
        <v>424</v>
      </c>
      <c r="B3011" t="s">
        <v>113</v>
      </c>
      <c r="C3011" s="4">
        <f t="shared" ref="C3011:M3011" si="1656">(0.00396421732885982/(0.0900940072589024+0.00396421732885982+0.0572052587068733+0.752028927432513))  * 3.65114976210503%</f>
        <v>1.6023550054569452E-4</v>
      </c>
      <c r="D3011" s="4">
        <f t="shared" si="1656"/>
        <v>1.6023550054569452E-4</v>
      </c>
      <c r="E3011" s="4">
        <f t="shared" si="1656"/>
        <v>1.6023550054569452E-4</v>
      </c>
      <c r="F3011" s="4">
        <f t="shared" si="1656"/>
        <v>1.6023550054569452E-4</v>
      </c>
      <c r="G3011" s="4">
        <f t="shared" si="1656"/>
        <v>1.6023550054569452E-4</v>
      </c>
      <c r="H3011" s="4">
        <f t="shared" si="1656"/>
        <v>1.6023550054569452E-4</v>
      </c>
      <c r="I3011" s="4">
        <f t="shared" si="1656"/>
        <v>1.6023550054569452E-4</v>
      </c>
      <c r="J3011" s="4">
        <f t="shared" si="1656"/>
        <v>1.6023550054569452E-4</v>
      </c>
      <c r="K3011" s="4">
        <f t="shared" si="1656"/>
        <v>1.6023550054569452E-4</v>
      </c>
      <c r="L3011" s="4">
        <f t="shared" si="1656"/>
        <v>1.6023550054569452E-4</v>
      </c>
      <c r="M3011" s="4">
        <f t="shared" si="1656"/>
        <v>1.6023550054569452E-4</v>
      </c>
      <c r="N3011" t="s">
        <v>256</v>
      </c>
      <c r="O3011" t="s">
        <v>353</v>
      </c>
      <c r="P3011" t="s">
        <v>424</v>
      </c>
      <c r="Q3011" s="4" t="s">
        <v>245</v>
      </c>
    </row>
    <row r="3012" spans="1:17" x14ac:dyDescent="0.25">
      <c r="A3012" t="s">
        <v>424</v>
      </c>
      <c r="B3012" t="s">
        <v>113</v>
      </c>
      <c r="C3012" s="4">
        <f t="shared" ref="C3012:M3012" si="1657">(0.0572052587068733/(0.0900940072589024+0.00396421732885982+0.0572052587068733+0.752028927432513)) * 3.65114976210503%</f>
        <v>2.3122630527873168E-3</v>
      </c>
      <c r="D3012" s="4">
        <f t="shared" si="1657"/>
        <v>2.3122630527873168E-3</v>
      </c>
      <c r="E3012" s="4">
        <f t="shared" si="1657"/>
        <v>2.3122630527873168E-3</v>
      </c>
      <c r="F3012" s="4">
        <f t="shared" si="1657"/>
        <v>2.3122630527873168E-3</v>
      </c>
      <c r="G3012" s="4">
        <f t="shared" si="1657"/>
        <v>2.3122630527873168E-3</v>
      </c>
      <c r="H3012" s="4">
        <f t="shared" si="1657"/>
        <v>2.3122630527873168E-3</v>
      </c>
      <c r="I3012" s="4">
        <f t="shared" si="1657"/>
        <v>2.3122630527873168E-3</v>
      </c>
      <c r="J3012" s="4">
        <f t="shared" si="1657"/>
        <v>2.3122630527873168E-3</v>
      </c>
      <c r="K3012" s="4">
        <f t="shared" si="1657"/>
        <v>2.3122630527873168E-3</v>
      </c>
      <c r="L3012" s="4">
        <f t="shared" si="1657"/>
        <v>2.3122630527873168E-3</v>
      </c>
      <c r="M3012" s="4">
        <f t="shared" si="1657"/>
        <v>2.3122630527873168E-3</v>
      </c>
      <c r="N3012" t="s">
        <v>256</v>
      </c>
      <c r="O3012" t="s">
        <v>280</v>
      </c>
      <c r="P3012" t="s">
        <v>424</v>
      </c>
      <c r="Q3012" s="4" t="s">
        <v>245</v>
      </c>
    </row>
    <row r="3013" spans="1:17" x14ac:dyDescent="0.25">
      <c r="A3013" t="s">
        <v>424</v>
      </c>
      <c r="B3013" t="s">
        <v>113</v>
      </c>
      <c r="C3013" s="4">
        <f t="shared" ref="C3013:M3013" si="1658">(0.752028927432513/(0.0900940072589024+0.00396421732885982+0.0572052587068733+0.752028927432513)) * 3.65114976210503%</f>
        <v>3.0397357565320197E-2</v>
      </c>
      <c r="D3013" s="4">
        <f t="shared" si="1658"/>
        <v>3.0397357565320197E-2</v>
      </c>
      <c r="E3013" s="4">
        <f t="shared" si="1658"/>
        <v>3.0397357565320197E-2</v>
      </c>
      <c r="F3013" s="4">
        <f t="shared" si="1658"/>
        <v>3.0397357565320197E-2</v>
      </c>
      <c r="G3013" s="4">
        <f t="shared" si="1658"/>
        <v>3.0397357565320197E-2</v>
      </c>
      <c r="H3013" s="4">
        <f t="shared" si="1658"/>
        <v>3.0397357565320197E-2</v>
      </c>
      <c r="I3013" s="4">
        <f t="shared" si="1658"/>
        <v>3.0397357565320197E-2</v>
      </c>
      <c r="J3013" s="4">
        <f t="shared" si="1658"/>
        <v>3.0397357565320197E-2</v>
      </c>
      <c r="K3013" s="4">
        <f t="shared" si="1658"/>
        <v>3.0397357565320197E-2</v>
      </c>
      <c r="L3013" s="4">
        <f t="shared" si="1658"/>
        <v>3.0397357565320197E-2</v>
      </c>
      <c r="M3013" s="4">
        <f t="shared" si="1658"/>
        <v>3.0397357565320197E-2</v>
      </c>
      <c r="N3013" t="s">
        <v>256</v>
      </c>
      <c r="O3013" t="s">
        <v>354</v>
      </c>
      <c r="P3013" t="s">
        <v>424</v>
      </c>
      <c r="Q3013" s="4" t="s">
        <v>245</v>
      </c>
    </row>
    <row r="3014" spans="1:17" x14ac:dyDescent="0.25">
      <c r="A3014" t="s">
        <v>424</v>
      </c>
      <c r="B3014" t="s">
        <v>140</v>
      </c>
      <c r="C3014" s="4">
        <f t="shared" ref="C3014:M3014" si="1659">(0.0900940072589024/(0.0900940072589024+0.00396421732885982+0.0572052587068733+0.752028927432513)) * 0.000462356653291692%</f>
        <v>4.6115259226335001E-7</v>
      </c>
      <c r="D3014" s="4">
        <f t="shared" si="1659"/>
        <v>4.6115259226335001E-7</v>
      </c>
      <c r="E3014" s="4">
        <f t="shared" si="1659"/>
        <v>4.6115259226335001E-7</v>
      </c>
      <c r="F3014" s="4">
        <f t="shared" si="1659"/>
        <v>4.6115259226335001E-7</v>
      </c>
      <c r="G3014" s="4">
        <f t="shared" si="1659"/>
        <v>4.6115259226335001E-7</v>
      </c>
      <c r="H3014" s="4">
        <f t="shared" si="1659"/>
        <v>4.6115259226335001E-7</v>
      </c>
      <c r="I3014" s="4">
        <f t="shared" si="1659"/>
        <v>4.6115259226335001E-7</v>
      </c>
      <c r="J3014" s="4">
        <f t="shared" si="1659"/>
        <v>4.6115259226335001E-7</v>
      </c>
      <c r="K3014" s="4">
        <f t="shared" si="1659"/>
        <v>4.6115259226335001E-7</v>
      </c>
      <c r="L3014" s="4">
        <f t="shared" si="1659"/>
        <v>4.6115259226335001E-7</v>
      </c>
      <c r="M3014" s="4">
        <f t="shared" si="1659"/>
        <v>4.6115259226335001E-7</v>
      </c>
      <c r="N3014" t="s">
        <v>242</v>
      </c>
      <c r="O3014" t="s">
        <v>358</v>
      </c>
      <c r="P3014" t="s">
        <v>424</v>
      </c>
      <c r="Q3014" s="4" t="s">
        <v>245</v>
      </c>
    </row>
    <row r="3015" spans="1:17" x14ac:dyDescent="0.25">
      <c r="A3015" t="s">
        <v>424</v>
      </c>
      <c r="B3015" t="s">
        <v>140</v>
      </c>
      <c r="C3015" s="4">
        <f t="shared" ref="C3015:M3015" si="1660">(0.00396421732885982/(0.0900940072589024+0.00396421732885982+0.0572052587068733+0.752028927432513))  * 0.000462356653291692%</f>
        <v>2.0291128712319094E-8</v>
      </c>
      <c r="D3015" s="4">
        <f t="shared" si="1660"/>
        <v>2.0291128712319094E-8</v>
      </c>
      <c r="E3015" s="4">
        <f t="shared" si="1660"/>
        <v>2.0291128712319094E-8</v>
      </c>
      <c r="F3015" s="4">
        <f t="shared" si="1660"/>
        <v>2.0291128712319094E-8</v>
      </c>
      <c r="G3015" s="4">
        <f t="shared" si="1660"/>
        <v>2.0291128712319094E-8</v>
      </c>
      <c r="H3015" s="4">
        <f t="shared" si="1660"/>
        <v>2.0291128712319094E-8</v>
      </c>
      <c r="I3015" s="4">
        <f t="shared" si="1660"/>
        <v>2.0291128712319094E-8</v>
      </c>
      <c r="J3015" s="4">
        <f t="shared" si="1660"/>
        <v>2.0291128712319094E-8</v>
      </c>
      <c r="K3015" s="4">
        <f t="shared" si="1660"/>
        <v>2.0291128712319094E-8</v>
      </c>
      <c r="L3015" s="4">
        <f t="shared" si="1660"/>
        <v>2.0291128712319094E-8</v>
      </c>
      <c r="M3015" s="4">
        <f t="shared" si="1660"/>
        <v>2.0291128712319094E-8</v>
      </c>
      <c r="N3015" t="s">
        <v>256</v>
      </c>
      <c r="O3015" t="s">
        <v>353</v>
      </c>
      <c r="P3015" t="s">
        <v>424</v>
      </c>
      <c r="Q3015" s="4" t="s">
        <v>245</v>
      </c>
    </row>
    <row r="3016" spans="1:17" x14ac:dyDescent="0.25">
      <c r="A3016" t="s">
        <v>424</v>
      </c>
      <c r="B3016" t="s">
        <v>140</v>
      </c>
      <c r="C3016" s="4">
        <f t="shared" ref="C3016:M3016" si="1661">(0.0572052587068733/(0.0900940072589024+0.00396421732885982+0.0572052587068733+0.752028927432513)) * 0.000462356653291692%</f>
        <v>2.9280919060422287E-7</v>
      </c>
      <c r="D3016" s="4">
        <f t="shared" si="1661"/>
        <v>2.9280919060422287E-7</v>
      </c>
      <c r="E3016" s="4">
        <f t="shared" si="1661"/>
        <v>2.9280919060422287E-7</v>
      </c>
      <c r="F3016" s="4">
        <f t="shared" si="1661"/>
        <v>2.9280919060422287E-7</v>
      </c>
      <c r="G3016" s="4">
        <f t="shared" si="1661"/>
        <v>2.9280919060422287E-7</v>
      </c>
      <c r="H3016" s="4">
        <f t="shared" si="1661"/>
        <v>2.9280919060422287E-7</v>
      </c>
      <c r="I3016" s="4">
        <f t="shared" si="1661"/>
        <v>2.9280919060422287E-7</v>
      </c>
      <c r="J3016" s="4">
        <f t="shared" si="1661"/>
        <v>2.9280919060422287E-7</v>
      </c>
      <c r="K3016" s="4">
        <f t="shared" si="1661"/>
        <v>2.9280919060422287E-7</v>
      </c>
      <c r="L3016" s="4">
        <f t="shared" si="1661"/>
        <v>2.9280919060422287E-7</v>
      </c>
      <c r="M3016" s="4">
        <f t="shared" si="1661"/>
        <v>2.9280919060422287E-7</v>
      </c>
      <c r="N3016" t="s">
        <v>256</v>
      </c>
      <c r="O3016" t="s">
        <v>280</v>
      </c>
      <c r="P3016" t="s">
        <v>424</v>
      </c>
      <c r="Q3016" s="4" t="s">
        <v>245</v>
      </c>
    </row>
    <row r="3017" spans="1:17" x14ac:dyDescent="0.25">
      <c r="A3017" t="s">
        <v>424</v>
      </c>
      <c r="B3017" t="s">
        <v>140</v>
      </c>
      <c r="C3017" s="4">
        <f t="shared" ref="C3017:M3017" si="1662">(0.752028927432513/(0.0900940072589024+0.00396421732885982+0.0572052587068733+0.752028927432513)) * 0.000462356653291692%</f>
        <v>3.8493136213370284E-6</v>
      </c>
      <c r="D3017" s="4">
        <f t="shared" si="1662"/>
        <v>3.8493136213370284E-6</v>
      </c>
      <c r="E3017" s="4">
        <f t="shared" si="1662"/>
        <v>3.8493136213370284E-6</v>
      </c>
      <c r="F3017" s="4">
        <f t="shared" si="1662"/>
        <v>3.8493136213370284E-6</v>
      </c>
      <c r="G3017" s="4">
        <f t="shared" si="1662"/>
        <v>3.8493136213370284E-6</v>
      </c>
      <c r="H3017" s="4">
        <f t="shared" si="1662"/>
        <v>3.8493136213370284E-6</v>
      </c>
      <c r="I3017" s="4">
        <f t="shared" si="1662"/>
        <v>3.8493136213370284E-6</v>
      </c>
      <c r="J3017" s="4">
        <f t="shared" si="1662"/>
        <v>3.8493136213370284E-6</v>
      </c>
      <c r="K3017" s="4">
        <f t="shared" si="1662"/>
        <v>3.8493136213370284E-6</v>
      </c>
      <c r="L3017" s="4">
        <f t="shared" si="1662"/>
        <v>3.8493136213370284E-6</v>
      </c>
      <c r="M3017" s="4">
        <f t="shared" si="1662"/>
        <v>3.8493136213370284E-6</v>
      </c>
      <c r="N3017" t="s">
        <v>256</v>
      </c>
      <c r="O3017" t="s">
        <v>354</v>
      </c>
      <c r="P3017" t="s">
        <v>424</v>
      </c>
      <c r="Q3017" s="4" t="s">
        <v>245</v>
      </c>
    </row>
    <row r="3018" spans="1:17" x14ac:dyDescent="0.25">
      <c r="A3018" t="s">
        <v>424</v>
      </c>
      <c r="B3018" t="s">
        <v>180</v>
      </c>
      <c r="C3018" s="4">
        <f t="shared" ref="C3018:M3018" si="1663">(0.0900940072589024/(0.0900940072589024+0.00396421732885982+0.0572052587068733+0.752028927432513)) * 0.707625849371189%</f>
        <v>7.0578306263543132E-4</v>
      </c>
      <c r="D3018" s="4">
        <f t="shared" si="1663"/>
        <v>7.0578306263543132E-4</v>
      </c>
      <c r="E3018" s="4">
        <f t="shared" si="1663"/>
        <v>7.0578306263543132E-4</v>
      </c>
      <c r="F3018" s="4">
        <f t="shared" si="1663"/>
        <v>7.0578306263543132E-4</v>
      </c>
      <c r="G3018" s="4">
        <f t="shared" si="1663"/>
        <v>7.0578306263543132E-4</v>
      </c>
      <c r="H3018" s="4">
        <f t="shared" si="1663"/>
        <v>7.0578306263543132E-4</v>
      </c>
      <c r="I3018" s="4">
        <f t="shared" si="1663"/>
        <v>7.0578306263543132E-4</v>
      </c>
      <c r="J3018" s="4">
        <f t="shared" si="1663"/>
        <v>7.0578306263543132E-4</v>
      </c>
      <c r="K3018" s="4">
        <f t="shared" si="1663"/>
        <v>7.0578306263543132E-4</v>
      </c>
      <c r="L3018" s="4">
        <f t="shared" si="1663"/>
        <v>7.0578306263543132E-4</v>
      </c>
      <c r="M3018" s="4">
        <f t="shared" si="1663"/>
        <v>7.0578306263543132E-4</v>
      </c>
      <c r="N3018" t="s">
        <v>242</v>
      </c>
      <c r="O3018" t="s">
        <v>358</v>
      </c>
      <c r="P3018" t="s">
        <v>424</v>
      </c>
      <c r="Q3018" s="4" t="s">
        <v>245</v>
      </c>
    </row>
    <row r="3019" spans="1:17" x14ac:dyDescent="0.25">
      <c r="A3019" t="s">
        <v>424</v>
      </c>
      <c r="B3019" t="s">
        <v>180</v>
      </c>
      <c r="C3019" s="4">
        <f t="shared" ref="C3019:M3019" si="1664">(0.00396421732885982/(0.0900940072589024+0.00396421732885982+0.0572052587068733+0.752028927432513))  * 0.707625849371189%</f>
        <v>3.1055089372092151E-5</v>
      </c>
      <c r="D3019" s="4">
        <f t="shared" si="1664"/>
        <v>3.1055089372092151E-5</v>
      </c>
      <c r="E3019" s="4">
        <f t="shared" si="1664"/>
        <v>3.1055089372092151E-5</v>
      </c>
      <c r="F3019" s="4">
        <f t="shared" si="1664"/>
        <v>3.1055089372092151E-5</v>
      </c>
      <c r="G3019" s="4">
        <f t="shared" si="1664"/>
        <v>3.1055089372092151E-5</v>
      </c>
      <c r="H3019" s="4">
        <f t="shared" si="1664"/>
        <v>3.1055089372092151E-5</v>
      </c>
      <c r="I3019" s="4">
        <f t="shared" si="1664"/>
        <v>3.1055089372092151E-5</v>
      </c>
      <c r="J3019" s="4">
        <f t="shared" si="1664"/>
        <v>3.1055089372092151E-5</v>
      </c>
      <c r="K3019" s="4">
        <f t="shared" si="1664"/>
        <v>3.1055089372092151E-5</v>
      </c>
      <c r="L3019" s="4">
        <f t="shared" si="1664"/>
        <v>3.1055089372092151E-5</v>
      </c>
      <c r="M3019" s="4">
        <f t="shared" si="1664"/>
        <v>3.1055089372092151E-5</v>
      </c>
      <c r="N3019" t="s">
        <v>256</v>
      </c>
      <c r="O3019" t="s">
        <v>353</v>
      </c>
      <c r="P3019" t="s">
        <v>424</v>
      </c>
      <c r="Q3019" s="4" t="s">
        <v>245</v>
      </c>
    </row>
    <row r="3020" spans="1:17" x14ac:dyDescent="0.25">
      <c r="A3020" t="s">
        <v>424</v>
      </c>
      <c r="B3020" t="s">
        <v>180</v>
      </c>
      <c r="C3020" s="4">
        <f t="shared" ref="C3020:M3020" si="1665">(0.0572052587068733/(0.0900940072589024+0.00396421732885982+0.0572052587068733+0.752028927432513)) * 0.707625849371189%</f>
        <v>4.4813749457236742E-4</v>
      </c>
      <c r="D3020" s="4">
        <f t="shared" si="1665"/>
        <v>4.4813749457236742E-4</v>
      </c>
      <c r="E3020" s="4">
        <f t="shared" si="1665"/>
        <v>4.4813749457236742E-4</v>
      </c>
      <c r="F3020" s="4">
        <f t="shared" si="1665"/>
        <v>4.4813749457236742E-4</v>
      </c>
      <c r="G3020" s="4">
        <f t="shared" si="1665"/>
        <v>4.4813749457236742E-4</v>
      </c>
      <c r="H3020" s="4">
        <f t="shared" si="1665"/>
        <v>4.4813749457236742E-4</v>
      </c>
      <c r="I3020" s="4">
        <f t="shared" si="1665"/>
        <v>4.4813749457236742E-4</v>
      </c>
      <c r="J3020" s="4">
        <f t="shared" si="1665"/>
        <v>4.4813749457236742E-4</v>
      </c>
      <c r="K3020" s="4">
        <f t="shared" si="1665"/>
        <v>4.4813749457236742E-4</v>
      </c>
      <c r="L3020" s="4">
        <f t="shared" si="1665"/>
        <v>4.4813749457236742E-4</v>
      </c>
      <c r="M3020" s="4">
        <f t="shared" si="1665"/>
        <v>4.4813749457236742E-4</v>
      </c>
      <c r="N3020" t="s">
        <v>256</v>
      </c>
      <c r="O3020" t="s">
        <v>280</v>
      </c>
      <c r="P3020" t="s">
        <v>424</v>
      </c>
      <c r="Q3020" s="4" t="s">
        <v>245</v>
      </c>
    </row>
    <row r="3021" spans="1:17" x14ac:dyDescent="0.25">
      <c r="A3021" t="s">
        <v>424</v>
      </c>
      <c r="B3021" t="s">
        <v>180</v>
      </c>
      <c r="C3021" s="4">
        <f t="shared" ref="C3021:M3021" si="1666">(0.752028927432513/(0.0900940072589024+0.00396421732885982+0.0572052587068733+0.752028927432513)) * 0.707625849371189%</f>
        <v>5.8912828471319994E-3</v>
      </c>
      <c r="D3021" s="4">
        <f t="shared" si="1666"/>
        <v>5.8912828471319994E-3</v>
      </c>
      <c r="E3021" s="4">
        <f t="shared" si="1666"/>
        <v>5.8912828471319994E-3</v>
      </c>
      <c r="F3021" s="4">
        <f t="shared" si="1666"/>
        <v>5.8912828471319994E-3</v>
      </c>
      <c r="G3021" s="4">
        <f t="shared" si="1666"/>
        <v>5.8912828471319994E-3</v>
      </c>
      <c r="H3021" s="4">
        <f t="shared" si="1666"/>
        <v>5.8912828471319994E-3</v>
      </c>
      <c r="I3021" s="4">
        <f t="shared" si="1666"/>
        <v>5.8912828471319994E-3</v>
      </c>
      <c r="J3021" s="4">
        <f t="shared" si="1666"/>
        <v>5.8912828471319994E-3</v>
      </c>
      <c r="K3021" s="4">
        <f t="shared" si="1666"/>
        <v>5.8912828471319994E-3</v>
      </c>
      <c r="L3021" s="4">
        <f t="shared" si="1666"/>
        <v>5.8912828471319994E-3</v>
      </c>
      <c r="M3021" s="4">
        <f t="shared" si="1666"/>
        <v>5.8912828471319994E-3</v>
      </c>
      <c r="N3021" t="s">
        <v>256</v>
      </c>
      <c r="O3021" t="s">
        <v>354</v>
      </c>
      <c r="P3021" t="s">
        <v>424</v>
      </c>
      <c r="Q3021" s="4" t="s">
        <v>245</v>
      </c>
    </row>
    <row r="3022" spans="1:17" x14ac:dyDescent="0.25">
      <c r="A3022" t="s">
        <v>424</v>
      </c>
      <c r="B3022" t="s">
        <v>143</v>
      </c>
      <c r="C3022" s="4">
        <f t="shared" ref="C3022:M3022" si="1667">(0.0900940072589024/(0.0900940072589024+0.00396421732885982+0.0572052587068733+0.752028927432513)) * 0.018571325573883%</f>
        <v>1.8522962455911264E-5</v>
      </c>
      <c r="D3022" s="4">
        <f t="shared" si="1667"/>
        <v>1.8522962455911264E-5</v>
      </c>
      <c r="E3022" s="4">
        <f t="shared" si="1667"/>
        <v>1.8522962455911264E-5</v>
      </c>
      <c r="F3022" s="4">
        <f t="shared" si="1667"/>
        <v>1.8522962455911264E-5</v>
      </c>
      <c r="G3022" s="4">
        <f t="shared" si="1667"/>
        <v>1.8522962455911264E-5</v>
      </c>
      <c r="H3022" s="4">
        <f t="shared" si="1667"/>
        <v>1.8522962455911264E-5</v>
      </c>
      <c r="I3022" s="4">
        <f t="shared" si="1667"/>
        <v>1.8522962455911264E-5</v>
      </c>
      <c r="J3022" s="4">
        <f t="shared" si="1667"/>
        <v>1.8522962455911264E-5</v>
      </c>
      <c r="K3022" s="4">
        <f t="shared" si="1667"/>
        <v>1.8522962455911264E-5</v>
      </c>
      <c r="L3022" s="4">
        <f t="shared" si="1667"/>
        <v>1.8522962455911264E-5</v>
      </c>
      <c r="M3022" s="4">
        <f t="shared" si="1667"/>
        <v>1.8522962455911264E-5</v>
      </c>
      <c r="N3022" t="s">
        <v>242</v>
      </c>
      <c r="O3022" t="s">
        <v>358</v>
      </c>
      <c r="P3022" t="s">
        <v>424</v>
      </c>
      <c r="Q3022" s="4" t="s">
        <v>245</v>
      </c>
    </row>
    <row r="3023" spans="1:17" x14ac:dyDescent="0.25">
      <c r="A3023" t="s">
        <v>424</v>
      </c>
      <c r="B3023" t="s">
        <v>143</v>
      </c>
      <c r="C3023" s="4">
        <f t="shared" ref="C3023:M3023" si="1668">(0.00396421732885982/(0.0900940072589024+0.00396421732885982+0.0572052587068733+0.752028927432513))  * 0.018571325573883%</f>
        <v>8.150270032781519E-7</v>
      </c>
      <c r="D3023" s="4">
        <f t="shared" si="1668"/>
        <v>8.150270032781519E-7</v>
      </c>
      <c r="E3023" s="4">
        <f t="shared" si="1668"/>
        <v>8.150270032781519E-7</v>
      </c>
      <c r="F3023" s="4">
        <f t="shared" si="1668"/>
        <v>8.150270032781519E-7</v>
      </c>
      <c r="G3023" s="4">
        <f t="shared" si="1668"/>
        <v>8.150270032781519E-7</v>
      </c>
      <c r="H3023" s="4">
        <f t="shared" si="1668"/>
        <v>8.150270032781519E-7</v>
      </c>
      <c r="I3023" s="4">
        <f t="shared" si="1668"/>
        <v>8.150270032781519E-7</v>
      </c>
      <c r="J3023" s="4">
        <f t="shared" si="1668"/>
        <v>8.150270032781519E-7</v>
      </c>
      <c r="K3023" s="4">
        <f t="shared" si="1668"/>
        <v>8.150270032781519E-7</v>
      </c>
      <c r="L3023" s="4">
        <f t="shared" si="1668"/>
        <v>8.150270032781519E-7</v>
      </c>
      <c r="M3023" s="4">
        <f t="shared" si="1668"/>
        <v>8.150270032781519E-7</v>
      </c>
      <c r="N3023" t="s">
        <v>256</v>
      </c>
      <c r="O3023" t="s">
        <v>353</v>
      </c>
      <c r="P3023" t="s">
        <v>424</v>
      </c>
      <c r="Q3023" s="4" t="s">
        <v>245</v>
      </c>
    </row>
    <row r="3024" spans="1:17" x14ac:dyDescent="0.25">
      <c r="A3024" t="s">
        <v>424</v>
      </c>
      <c r="B3024" t="s">
        <v>143</v>
      </c>
      <c r="C3024" s="4">
        <f t="shared" ref="C3024:M3024" si="1669">(0.0572052587068733/(0.0900940072589024+0.00396421732885982+0.0572052587068733+0.752028927432513)) * 0.018571325573883%</f>
        <v>1.176116915593631E-5</v>
      </c>
      <c r="D3024" s="4">
        <f t="shared" si="1669"/>
        <v>1.176116915593631E-5</v>
      </c>
      <c r="E3024" s="4">
        <f t="shared" si="1669"/>
        <v>1.176116915593631E-5</v>
      </c>
      <c r="F3024" s="4">
        <f t="shared" si="1669"/>
        <v>1.176116915593631E-5</v>
      </c>
      <c r="G3024" s="4">
        <f t="shared" si="1669"/>
        <v>1.176116915593631E-5</v>
      </c>
      <c r="H3024" s="4">
        <f t="shared" si="1669"/>
        <v>1.176116915593631E-5</v>
      </c>
      <c r="I3024" s="4">
        <f t="shared" si="1669"/>
        <v>1.176116915593631E-5</v>
      </c>
      <c r="J3024" s="4">
        <f t="shared" si="1669"/>
        <v>1.176116915593631E-5</v>
      </c>
      <c r="K3024" s="4">
        <f t="shared" si="1669"/>
        <v>1.176116915593631E-5</v>
      </c>
      <c r="L3024" s="4">
        <f t="shared" si="1669"/>
        <v>1.176116915593631E-5</v>
      </c>
      <c r="M3024" s="4">
        <f t="shared" si="1669"/>
        <v>1.176116915593631E-5</v>
      </c>
      <c r="N3024" t="s">
        <v>256</v>
      </c>
      <c r="O3024" t="s">
        <v>280</v>
      </c>
      <c r="P3024" t="s">
        <v>424</v>
      </c>
      <c r="Q3024" s="4" t="s">
        <v>245</v>
      </c>
    </row>
    <row r="3025" spans="1:18" x14ac:dyDescent="0.25">
      <c r="A3025" t="s">
        <v>424</v>
      </c>
      <c r="B3025" t="s">
        <v>143</v>
      </c>
      <c r="C3025" s="4">
        <f t="shared" ref="C3025:M3025" si="1670">(0.752028927432513/(0.0900940072589024+0.00396421732885982+0.0572052587068733+0.752028927432513)) * 0.018571325573883%</f>
        <v>1.5461409712370428E-4</v>
      </c>
      <c r="D3025" s="4">
        <f t="shared" si="1670"/>
        <v>1.5461409712370428E-4</v>
      </c>
      <c r="E3025" s="4">
        <f t="shared" si="1670"/>
        <v>1.5461409712370428E-4</v>
      </c>
      <c r="F3025" s="4">
        <f t="shared" si="1670"/>
        <v>1.5461409712370428E-4</v>
      </c>
      <c r="G3025" s="4">
        <f t="shared" si="1670"/>
        <v>1.5461409712370428E-4</v>
      </c>
      <c r="H3025" s="4">
        <f t="shared" si="1670"/>
        <v>1.5461409712370428E-4</v>
      </c>
      <c r="I3025" s="4">
        <f t="shared" si="1670"/>
        <v>1.5461409712370428E-4</v>
      </c>
      <c r="J3025" s="4">
        <f t="shared" si="1670"/>
        <v>1.5461409712370428E-4</v>
      </c>
      <c r="K3025" s="4">
        <f t="shared" si="1670"/>
        <v>1.5461409712370428E-4</v>
      </c>
      <c r="L3025" s="4">
        <f t="shared" si="1670"/>
        <v>1.5461409712370428E-4</v>
      </c>
      <c r="M3025" s="4">
        <f t="shared" si="1670"/>
        <v>1.5461409712370428E-4</v>
      </c>
      <c r="N3025" t="s">
        <v>256</v>
      </c>
      <c r="O3025" t="s">
        <v>354</v>
      </c>
      <c r="P3025" t="s">
        <v>424</v>
      </c>
      <c r="Q3025" s="4" t="s">
        <v>245</v>
      </c>
    </row>
    <row r="3026" spans="1:18" x14ac:dyDescent="0.25">
      <c r="A3026" t="s">
        <v>424</v>
      </c>
      <c r="B3026" t="s">
        <v>158</v>
      </c>
      <c r="C3026" s="4">
        <f t="shared" ref="C3026:M3026" si="1671">(0.0900940072589024/(0.0900940072589024+0.00396421732885982+0.0572052587068733+0.752028927432513)) * 0.00552039166041287%</f>
        <v>5.5060155539760626E-6</v>
      </c>
      <c r="D3026" s="4">
        <f t="shared" si="1671"/>
        <v>5.5060155539760626E-6</v>
      </c>
      <c r="E3026" s="4">
        <f t="shared" si="1671"/>
        <v>5.5060155539760626E-6</v>
      </c>
      <c r="F3026" s="4">
        <f t="shared" si="1671"/>
        <v>5.5060155539760626E-6</v>
      </c>
      <c r="G3026" s="4">
        <f t="shared" si="1671"/>
        <v>5.5060155539760626E-6</v>
      </c>
      <c r="H3026" s="4">
        <f t="shared" si="1671"/>
        <v>5.5060155539760626E-6</v>
      </c>
      <c r="I3026" s="4">
        <f t="shared" si="1671"/>
        <v>5.5060155539760626E-6</v>
      </c>
      <c r="J3026" s="4">
        <f t="shared" si="1671"/>
        <v>5.5060155539760626E-6</v>
      </c>
      <c r="K3026" s="4">
        <f t="shared" si="1671"/>
        <v>5.5060155539760626E-6</v>
      </c>
      <c r="L3026" s="4">
        <f t="shared" si="1671"/>
        <v>5.5060155539760626E-6</v>
      </c>
      <c r="M3026" s="4">
        <f t="shared" si="1671"/>
        <v>5.5060155539760626E-6</v>
      </c>
      <c r="N3026" t="s">
        <v>242</v>
      </c>
      <c r="O3026" t="s">
        <v>358</v>
      </c>
      <c r="P3026" t="s">
        <v>424</v>
      </c>
      <c r="Q3026" s="4" t="s">
        <v>245</v>
      </c>
    </row>
    <row r="3027" spans="1:18" x14ac:dyDescent="0.25">
      <c r="A3027" t="s">
        <v>424</v>
      </c>
      <c r="B3027" t="s">
        <v>158</v>
      </c>
      <c r="C3027" s="4">
        <f t="shared" ref="C3027:M3027" si="1672">(0.00396421732885982/(0.0900940072589024+0.00396421732885982+0.0572052587068733+0.752028927432513))  * 0.00552039166041287%</f>
        <v>2.4226963519692739E-7</v>
      </c>
      <c r="D3027" s="4">
        <f t="shared" si="1672"/>
        <v>2.4226963519692739E-7</v>
      </c>
      <c r="E3027" s="4">
        <f t="shared" si="1672"/>
        <v>2.4226963519692739E-7</v>
      </c>
      <c r="F3027" s="4">
        <f t="shared" si="1672"/>
        <v>2.4226963519692739E-7</v>
      </c>
      <c r="G3027" s="4">
        <f t="shared" si="1672"/>
        <v>2.4226963519692739E-7</v>
      </c>
      <c r="H3027" s="4">
        <f t="shared" si="1672"/>
        <v>2.4226963519692739E-7</v>
      </c>
      <c r="I3027" s="4">
        <f t="shared" si="1672"/>
        <v>2.4226963519692739E-7</v>
      </c>
      <c r="J3027" s="4">
        <f t="shared" si="1672"/>
        <v>2.4226963519692739E-7</v>
      </c>
      <c r="K3027" s="4">
        <f t="shared" si="1672"/>
        <v>2.4226963519692739E-7</v>
      </c>
      <c r="L3027" s="4">
        <f t="shared" si="1672"/>
        <v>2.4226963519692739E-7</v>
      </c>
      <c r="M3027" s="4">
        <f t="shared" si="1672"/>
        <v>2.4226963519692739E-7</v>
      </c>
      <c r="N3027" t="s">
        <v>256</v>
      </c>
      <c r="O3027" t="s">
        <v>353</v>
      </c>
      <c r="P3027" t="s">
        <v>424</v>
      </c>
      <c r="Q3027" s="4" t="s">
        <v>245</v>
      </c>
    </row>
    <row r="3028" spans="1:18" x14ac:dyDescent="0.25">
      <c r="A3028" t="s">
        <v>424</v>
      </c>
      <c r="B3028" t="s">
        <v>158</v>
      </c>
      <c r="C3028" s="4">
        <f t="shared" ref="C3028:M3028" si="1673">(0.0572052587068733/(0.0900940072589024+0.00396421732885982+0.0572052587068733+0.752028927432513)) * 0.00552039166041287%</f>
        <v>3.4960487805158172E-6</v>
      </c>
      <c r="D3028" s="4">
        <f t="shared" si="1673"/>
        <v>3.4960487805158172E-6</v>
      </c>
      <c r="E3028" s="4">
        <f t="shared" si="1673"/>
        <v>3.4960487805158172E-6</v>
      </c>
      <c r="F3028" s="4">
        <f t="shared" si="1673"/>
        <v>3.4960487805158172E-6</v>
      </c>
      <c r="G3028" s="4">
        <f t="shared" si="1673"/>
        <v>3.4960487805158172E-6</v>
      </c>
      <c r="H3028" s="4">
        <f t="shared" si="1673"/>
        <v>3.4960487805158172E-6</v>
      </c>
      <c r="I3028" s="4">
        <f t="shared" si="1673"/>
        <v>3.4960487805158172E-6</v>
      </c>
      <c r="J3028" s="4">
        <f t="shared" si="1673"/>
        <v>3.4960487805158172E-6</v>
      </c>
      <c r="K3028" s="4">
        <f t="shared" si="1673"/>
        <v>3.4960487805158172E-6</v>
      </c>
      <c r="L3028" s="4">
        <f t="shared" si="1673"/>
        <v>3.4960487805158172E-6</v>
      </c>
      <c r="M3028" s="4">
        <f t="shared" si="1673"/>
        <v>3.4960487805158172E-6</v>
      </c>
      <c r="N3028" t="s">
        <v>256</v>
      </c>
      <c r="O3028" t="s">
        <v>280</v>
      </c>
      <c r="P3028" t="s">
        <v>424</v>
      </c>
      <c r="Q3028" s="4" t="s">
        <v>245</v>
      </c>
    </row>
    <row r="3029" spans="1:18" x14ac:dyDescent="0.25">
      <c r="A3029" t="s">
        <v>424</v>
      </c>
      <c r="B3029" t="s">
        <v>158</v>
      </c>
      <c r="C3029" s="4">
        <f t="shared" ref="C3029:M3029" si="1674">(0.752028927432513/(0.0900940072589024+0.00396421732885982+0.0572052587068733+0.752028927432513)) * 0.00552039166041287%</f>
        <v>4.5959582634439892E-5</v>
      </c>
      <c r="D3029" s="4">
        <f t="shared" si="1674"/>
        <v>4.5959582634439892E-5</v>
      </c>
      <c r="E3029" s="4">
        <f t="shared" si="1674"/>
        <v>4.5959582634439892E-5</v>
      </c>
      <c r="F3029" s="4">
        <f t="shared" si="1674"/>
        <v>4.5959582634439892E-5</v>
      </c>
      <c r="G3029" s="4">
        <f t="shared" si="1674"/>
        <v>4.5959582634439892E-5</v>
      </c>
      <c r="H3029" s="4">
        <f t="shared" si="1674"/>
        <v>4.5959582634439892E-5</v>
      </c>
      <c r="I3029" s="4">
        <f t="shared" si="1674"/>
        <v>4.5959582634439892E-5</v>
      </c>
      <c r="J3029" s="4">
        <f t="shared" si="1674"/>
        <v>4.5959582634439892E-5</v>
      </c>
      <c r="K3029" s="4">
        <f t="shared" si="1674"/>
        <v>4.5959582634439892E-5</v>
      </c>
      <c r="L3029" s="4">
        <f t="shared" si="1674"/>
        <v>4.5959582634439892E-5</v>
      </c>
      <c r="M3029" s="4">
        <f t="shared" si="1674"/>
        <v>4.5959582634439892E-5</v>
      </c>
      <c r="N3029" t="s">
        <v>256</v>
      </c>
      <c r="O3029" t="s">
        <v>354</v>
      </c>
      <c r="P3029" t="s">
        <v>424</v>
      </c>
      <c r="Q3029" s="4" t="s">
        <v>245</v>
      </c>
    </row>
    <row r="3030" spans="1:18" x14ac:dyDescent="0.25">
      <c r="A3030" t="s">
        <v>404</v>
      </c>
      <c r="B3030" t="s">
        <v>124</v>
      </c>
      <c r="C3030" s="4">
        <v>3.9611241060809347E-3</v>
      </c>
      <c r="D3030" s="4">
        <v>3.9611241060809347E-3</v>
      </c>
      <c r="E3030" s="4">
        <v>3.9611241060809347E-3</v>
      </c>
      <c r="F3030" s="4">
        <v>3.9611241060809347E-3</v>
      </c>
      <c r="G3030" s="4">
        <v>3.9611241060809347E-3</v>
      </c>
      <c r="H3030" s="4">
        <v>3.9611241060809347E-3</v>
      </c>
      <c r="I3030" s="4">
        <v>3.9611241060809347E-3</v>
      </c>
      <c r="J3030" s="4">
        <v>3.9611241060809347E-3</v>
      </c>
      <c r="K3030" s="4">
        <v>3.9611241060809347E-3</v>
      </c>
      <c r="L3030" s="4">
        <v>3.9611241060809347E-3</v>
      </c>
      <c r="M3030" s="4">
        <v>3.9611241060809347E-3</v>
      </c>
      <c r="N3030" t="s">
        <v>256</v>
      </c>
      <c r="O3030" t="s">
        <v>403</v>
      </c>
      <c r="P3030" t="s">
        <v>404</v>
      </c>
      <c r="Q3030" t="s">
        <v>245</v>
      </c>
      <c r="R3030" t="s">
        <v>577</v>
      </c>
    </row>
    <row r="3031" spans="1:18" x14ac:dyDescent="0.25">
      <c r="A3031" t="s">
        <v>404</v>
      </c>
      <c r="B3031" t="s">
        <v>86</v>
      </c>
      <c r="C3031" s="4">
        <v>0.1593082861637935</v>
      </c>
      <c r="D3031" s="4">
        <v>0.1593082861637935</v>
      </c>
      <c r="E3031" s="4">
        <v>0.1593082861637935</v>
      </c>
      <c r="F3031" s="4">
        <v>0.1593082861637935</v>
      </c>
      <c r="G3031" s="4">
        <v>0.1593082861637935</v>
      </c>
      <c r="H3031" s="4">
        <v>0.1593082861637935</v>
      </c>
      <c r="I3031" s="4">
        <v>0.1593082861637935</v>
      </c>
      <c r="J3031" s="4">
        <v>0.1593082861637935</v>
      </c>
      <c r="K3031" s="4">
        <v>0.1593082861637935</v>
      </c>
      <c r="L3031" s="4">
        <v>0.1593082861637935</v>
      </c>
      <c r="M3031" s="4">
        <v>0.1593082861637935</v>
      </c>
      <c r="N3031" t="s">
        <v>254</v>
      </c>
      <c r="O3031" t="s">
        <v>403</v>
      </c>
      <c r="P3031" t="s">
        <v>404</v>
      </c>
      <c r="Q3031" t="s">
        <v>245</v>
      </c>
    </row>
    <row r="3032" spans="1:18" x14ac:dyDescent="0.25">
      <c r="A3032" t="s">
        <v>404</v>
      </c>
      <c r="B3032" t="s">
        <v>99</v>
      </c>
      <c r="C3032" s="4">
        <v>0.3639303085918813</v>
      </c>
      <c r="D3032" s="4">
        <v>0.3639303085918813</v>
      </c>
      <c r="E3032" s="4">
        <v>0.3639303085918813</v>
      </c>
      <c r="F3032" s="4">
        <v>0.3639303085918813</v>
      </c>
      <c r="G3032" s="4">
        <v>0.3639303085918813</v>
      </c>
      <c r="H3032" s="4">
        <v>0.3639303085918813</v>
      </c>
      <c r="I3032" s="4">
        <v>0.3639303085918813</v>
      </c>
      <c r="J3032" s="4">
        <v>0.3639303085918813</v>
      </c>
      <c r="K3032" s="4">
        <v>0.3639303085918813</v>
      </c>
      <c r="L3032" s="4">
        <v>0.3639303085918813</v>
      </c>
      <c r="M3032" s="4">
        <v>0.3639303085918813</v>
      </c>
      <c r="N3032" t="s">
        <v>256</v>
      </c>
      <c r="O3032" t="s">
        <v>403</v>
      </c>
      <c r="P3032" t="s">
        <v>404</v>
      </c>
      <c r="Q3032" t="s">
        <v>245</v>
      </c>
    </row>
    <row r="3033" spans="1:18" x14ac:dyDescent="0.25">
      <c r="A3033" t="s">
        <v>404</v>
      </c>
      <c r="B3033" t="s">
        <v>150</v>
      </c>
      <c r="C3033" s="4">
        <v>8.8900828687476452E-2</v>
      </c>
      <c r="D3033" s="4">
        <v>8.8900828687476452E-2</v>
      </c>
      <c r="E3033" s="4">
        <v>8.8900828687476452E-2</v>
      </c>
      <c r="F3033" s="4">
        <v>8.8900828687476452E-2</v>
      </c>
      <c r="G3033" s="4">
        <v>8.8900828687476452E-2</v>
      </c>
      <c r="H3033" s="4">
        <v>8.8900828687476452E-2</v>
      </c>
      <c r="I3033" s="4">
        <v>8.8900828687476452E-2</v>
      </c>
      <c r="J3033" s="4">
        <v>8.8900828687476452E-2</v>
      </c>
      <c r="K3033" s="4">
        <v>8.8900828687476452E-2</v>
      </c>
      <c r="L3033" s="4">
        <v>8.8900828687476452E-2</v>
      </c>
      <c r="M3033" s="4">
        <v>8.8900828687476452E-2</v>
      </c>
      <c r="N3033" t="s">
        <v>256</v>
      </c>
      <c r="O3033" t="s">
        <v>403</v>
      </c>
      <c r="P3033" t="s">
        <v>404</v>
      </c>
      <c r="Q3033" t="s">
        <v>245</v>
      </c>
    </row>
    <row r="3034" spans="1:18" x14ac:dyDescent="0.25">
      <c r="A3034" t="s">
        <v>404</v>
      </c>
      <c r="B3034" t="s">
        <v>121</v>
      </c>
      <c r="C3034" s="4">
        <v>0.38389945245076779</v>
      </c>
      <c r="D3034" s="4">
        <v>0.38389945245076779</v>
      </c>
      <c r="E3034" s="4">
        <v>0.38389945245076779</v>
      </c>
      <c r="F3034" s="4">
        <v>0.38389945245076779</v>
      </c>
      <c r="G3034" s="4">
        <v>0.38389945245076779</v>
      </c>
      <c r="H3034" s="4">
        <v>0.38389945245076779</v>
      </c>
      <c r="I3034" s="4">
        <v>0.38389945245076779</v>
      </c>
      <c r="J3034" s="4">
        <v>0.38389945245076779</v>
      </c>
      <c r="K3034" s="4">
        <v>0.38389945245076779</v>
      </c>
      <c r="L3034" s="4">
        <v>0.38389945245076779</v>
      </c>
      <c r="M3034" s="4">
        <v>0.38389945245076779</v>
      </c>
      <c r="N3034" t="s">
        <v>405</v>
      </c>
      <c r="O3034" t="s">
        <v>403</v>
      </c>
      <c r="P3034" t="s">
        <v>404</v>
      </c>
      <c r="Q3034" t="s">
        <v>245</v>
      </c>
    </row>
    <row r="3035" spans="1:18" ht="15.75" x14ac:dyDescent="0.25">
      <c r="A3035" t="s">
        <v>678</v>
      </c>
      <c r="B3035" s="29" t="s">
        <v>181</v>
      </c>
      <c r="C3035" s="2">
        <v>6.1849491472216014E-4</v>
      </c>
      <c r="D3035" s="2">
        <v>6.1849491472216014E-4</v>
      </c>
      <c r="E3035" s="2">
        <v>6.1849491472216014E-4</v>
      </c>
      <c r="F3035" s="2">
        <v>6.1849491472216014E-4</v>
      </c>
      <c r="G3035" s="2">
        <v>6.1849491472216014E-4</v>
      </c>
      <c r="H3035" s="2">
        <v>6.1849491472216014E-4</v>
      </c>
      <c r="I3035" s="2">
        <v>6.1849491472216014E-4</v>
      </c>
      <c r="J3035" s="2">
        <v>6.1849491472216014E-4</v>
      </c>
      <c r="K3035" s="2">
        <v>6.1849491472216014E-4</v>
      </c>
      <c r="L3035" s="2">
        <v>6.1849491472216014E-4</v>
      </c>
      <c r="M3035" s="2">
        <v>6.1849491472216014E-4</v>
      </c>
      <c r="N3035" t="s">
        <v>680</v>
      </c>
      <c r="O3035" s="29" t="s">
        <v>679</v>
      </c>
      <c r="P3035" t="s">
        <v>678</v>
      </c>
      <c r="Q3035" t="s">
        <v>245</v>
      </c>
    </row>
    <row r="3036" spans="1:18" ht="15.75" x14ac:dyDescent="0.25">
      <c r="A3036" t="s">
        <v>678</v>
      </c>
      <c r="B3036" s="29" t="s">
        <v>220</v>
      </c>
      <c r="C3036" s="2">
        <v>9.2853235876977163E-4</v>
      </c>
      <c r="D3036" s="2">
        <v>9.2853235876977163E-4</v>
      </c>
      <c r="E3036" s="2">
        <v>9.2853235876977163E-4</v>
      </c>
      <c r="F3036" s="2">
        <v>9.2853235876977163E-4</v>
      </c>
      <c r="G3036" s="2">
        <v>9.2853235876977163E-4</v>
      </c>
      <c r="H3036" s="2">
        <v>9.2853235876977163E-4</v>
      </c>
      <c r="I3036" s="2">
        <v>9.2853235876977163E-4</v>
      </c>
      <c r="J3036" s="2">
        <v>9.2853235876977163E-4</v>
      </c>
      <c r="K3036" s="2">
        <v>9.2853235876977163E-4</v>
      </c>
      <c r="L3036" s="2">
        <v>9.2853235876977163E-4</v>
      </c>
      <c r="M3036" s="2">
        <v>9.2853235876977163E-4</v>
      </c>
      <c r="N3036" t="s">
        <v>256</v>
      </c>
      <c r="O3036" s="29" t="s">
        <v>679</v>
      </c>
      <c r="P3036" t="s">
        <v>678</v>
      </c>
      <c r="Q3036" t="s">
        <v>245</v>
      </c>
    </row>
    <row r="3037" spans="1:18" ht="15.75" x14ac:dyDescent="0.25">
      <c r="A3037" t="s">
        <v>678</v>
      </c>
      <c r="B3037" s="29" t="s">
        <v>163</v>
      </c>
      <c r="C3037" s="2">
        <v>1.1747683051574402E-3</v>
      </c>
      <c r="D3037" s="2">
        <v>1.1747683051574402E-3</v>
      </c>
      <c r="E3037" s="2">
        <v>1.1747683051574402E-3</v>
      </c>
      <c r="F3037" s="2">
        <v>1.1747683051574402E-3</v>
      </c>
      <c r="G3037" s="2">
        <v>1.1747683051574402E-3</v>
      </c>
      <c r="H3037" s="2">
        <v>1.1747683051574402E-3</v>
      </c>
      <c r="I3037" s="2">
        <v>1.1747683051574402E-3</v>
      </c>
      <c r="J3037" s="2">
        <v>1.1747683051574402E-3</v>
      </c>
      <c r="K3037" s="2">
        <v>1.1747683051574402E-3</v>
      </c>
      <c r="L3037" s="2">
        <v>1.1747683051574402E-3</v>
      </c>
      <c r="M3037" s="2">
        <v>1.1747683051574402E-3</v>
      </c>
      <c r="N3037" t="s">
        <v>256</v>
      </c>
      <c r="O3037" t="s">
        <v>280</v>
      </c>
      <c r="P3037" t="s">
        <v>678</v>
      </c>
      <c r="Q3037" t="s">
        <v>245</v>
      </c>
    </row>
    <row r="3038" spans="1:18" ht="15.75" x14ac:dyDescent="0.25">
      <c r="A3038" t="s">
        <v>678</v>
      </c>
      <c r="B3038" s="29" t="s">
        <v>163</v>
      </c>
      <c r="C3038" s="2">
        <v>4.4479127377712877E-3</v>
      </c>
      <c r="D3038" s="2">
        <v>4.4479127377712877E-3</v>
      </c>
      <c r="E3038" s="2">
        <v>4.4479127377712877E-3</v>
      </c>
      <c r="F3038" s="2">
        <v>4.4479127377712877E-3</v>
      </c>
      <c r="G3038" s="2">
        <v>4.4479127377712877E-3</v>
      </c>
      <c r="H3038" s="2">
        <v>4.4479127377712877E-3</v>
      </c>
      <c r="I3038" s="2">
        <v>4.4479127377712877E-3</v>
      </c>
      <c r="J3038" s="2">
        <v>4.4479127377712877E-3</v>
      </c>
      <c r="K3038" s="2">
        <v>4.4479127377712877E-3</v>
      </c>
      <c r="L3038" s="2">
        <v>4.4479127377712877E-3</v>
      </c>
      <c r="M3038" s="2">
        <v>4.4479127377712877E-3</v>
      </c>
      <c r="N3038" t="s">
        <v>680</v>
      </c>
      <c r="O3038" s="31" t="s">
        <v>679</v>
      </c>
      <c r="P3038" t="s">
        <v>678</v>
      </c>
      <c r="Q3038" t="s">
        <v>245</v>
      </c>
    </row>
    <row r="3039" spans="1:18" ht="15.75" x14ac:dyDescent="0.25">
      <c r="A3039" t="s">
        <v>678</v>
      </c>
      <c r="B3039" s="29" t="s">
        <v>84</v>
      </c>
      <c r="C3039" s="2">
        <v>1.1565006580122418E-5</v>
      </c>
      <c r="D3039" s="2">
        <v>1.1565006580122418E-5</v>
      </c>
      <c r="E3039" s="2">
        <v>1.1565006580122418E-5</v>
      </c>
      <c r="F3039" s="2">
        <v>1.1565006580122418E-5</v>
      </c>
      <c r="G3039" s="2">
        <v>1.1565006580122418E-5</v>
      </c>
      <c r="H3039" s="2">
        <v>1.1565006580122418E-5</v>
      </c>
      <c r="I3039" s="2">
        <v>1.1565006580122418E-5</v>
      </c>
      <c r="J3039" s="2">
        <v>1.1565006580122418E-5</v>
      </c>
      <c r="K3039" s="2">
        <v>1.1565006580122418E-5</v>
      </c>
      <c r="L3039" s="2">
        <v>1.1565006580122418E-5</v>
      </c>
      <c r="M3039" s="2">
        <v>1.1565006580122418E-5</v>
      </c>
      <c r="N3039" t="s">
        <v>256</v>
      </c>
      <c r="O3039" t="s">
        <v>280</v>
      </c>
      <c r="P3039" t="s">
        <v>678</v>
      </c>
      <c r="Q3039" t="s">
        <v>245</v>
      </c>
    </row>
    <row r="3040" spans="1:18" ht="15.75" x14ac:dyDescent="0.25">
      <c r="A3040" t="s">
        <v>678</v>
      </c>
      <c r="B3040" s="29" t="s">
        <v>84</v>
      </c>
      <c r="C3040" s="2">
        <v>4.378747694698945E-5</v>
      </c>
      <c r="D3040" s="2">
        <v>4.378747694698945E-5</v>
      </c>
      <c r="E3040" s="2">
        <v>4.378747694698945E-5</v>
      </c>
      <c r="F3040" s="2">
        <v>4.378747694698945E-5</v>
      </c>
      <c r="G3040" s="2">
        <v>4.378747694698945E-5</v>
      </c>
      <c r="H3040" s="2">
        <v>4.378747694698945E-5</v>
      </c>
      <c r="I3040" s="2">
        <v>4.378747694698945E-5</v>
      </c>
      <c r="J3040" s="2">
        <v>4.378747694698945E-5</v>
      </c>
      <c r="K3040" s="2">
        <v>4.378747694698945E-5</v>
      </c>
      <c r="L3040" s="2">
        <v>4.378747694698945E-5</v>
      </c>
      <c r="M3040" s="2">
        <v>4.378747694698945E-5</v>
      </c>
      <c r="N3040" t="s">
        <v>680</v>
      </c>
      <c r="O3040" s="31" t="s">
        <v>679</v>
      </c>
      <c r="P3040" t="s">
        <v>678</v>
      </c>
      <c r="Q3040" t="s">
        <v>245</v>
      </c>
    </row>
    <row r="3041" spans="1:17" ht="15.75" x14ac:dyDescent="0.25">
      <c r="A3041" t="s">
        <v>678</v>
      </c>
      <c r="B3041" s="29" t="s">
        <v>147</v>
      </c>
      <c r="C3041" s="2">
        <v>6.2079121766009226E-3</v>
      </c>
      <c r="D3041" s="2">
        <v>6.2079121766009226E-3</v>
      </c>
      <c r="E3041" s="2">
        <v>6.2079121766009226E-3</v>
      </c>
      <c r="F3041" s="2">
        <v>6.2079121766009226E-3</v>
      </c>
      <c r="G3041" s="2">
        <v>6.2079121766009226E-3</v>
      </c>
      <c r="H3041" s="2">
        <v>6.2079121766009226E-3</v>
      </c>
      <c r="I3041" s="2">
        <v>6.2079121766009226E-3</v>
      </c>
      <c r="J3041" s="2">
        <v>6.2079121766009226E-3</v>
      </c>
      <c r="K3041" s="2">
        <v>6.2079121766009226E-3</v>
      </c>
      <c r="L3041" s="2">
        <v>6.2079121766009226E-3</v>
      </c>
      <c r="M3041" s="2">
        <v>6.2079121766009226E-3</v>
      </c>
      <c r="N3041" t="s">
        <v>256</v>
      </c>
      <c r="O3041" s="29" t="s">
        <v>280</v>
      </c>
      <c r="P3041" t="s">
        <v>678</v>
      </c>
      <c r="Q3041" t="s">
        <v>245</v>
      </c>
    </row>
    <row r="3042" spans="1:17" ht="15.75" x14ac:dyDescent="0.25">
      <c r="A3042" t="s">
        <v>678</v>
      </c>
      <c r="B3042" s="29" t="s">
        <v>147</v>
      </c>
      <c r="C3042" s="2">
        <v>8.4340215643930925E-4</v>
      </c>
      <c r="D3042" s="2">
        <v>8.4340215643930925E-4</v>
      </c>
      <c r="E3042" s="2">
        <v>8.4340215643930925E-4</v>
      </c>
      <c r="F3042" s="2">
        <v>8.4340215643930925E-4</v>
      </c>
      <c r="G3042" s="2">
        <v>8.4340215643930925E-4</v>
      </c>
      <c r="H3042" s="2">
        <v>8.4340215643930925E-4</v>
      </c>
      <c r="I3042" s="2">
        <v>8.4340215643930925E-4</v>
      </c>
      <c r="J3042" s="2">
        <v>8.4340215643930925E-4</v>
      </c>
      <c r="K3042" s="2">
        <v>8.4340215643930925E-4</v>
      </c>
      <c r="L3042" s="2">
        <v>8.4340215643930925E-4</v>
      </c>
      <c r="M3042" s="2">
        <v>8.4340215643930925E-4</v>
      </c>
      <c r="N3042" t="s">
        <v>680</v>
      </c>
      <c r="O3042" s="29" t="s">
        <v>679</v>
      </c>
      <c r="P3042" t="s">
        <v>678</v>
      </c>
      <c r="Q3042" t="s">
        <v>245</v>
      </c>
    </row>
    <row r="3043" spans="1:17" ht="15.75" x14ac:dyDescent="0.25">
      <c r="A3043" t="s">
        <v>678</v>
      </c>
      <c r="B3043" s="29" t="s">
        <v>88</v>
      </c>
      <c r="C3043" s="2">
        <v>2.1785358834879503E-4</v>
      </c>
      <c r="D3043" s="2">
        <v>2.1785358834879503E-4</v>
      </c>
      <c r="E3043" s="2">
        <v>2.1785358834879503E-4</v>
      </c>
      <c r="F3043" s="2">
        <v>2.1785358834879503E-4</v>
      </c>
      <c r="G3043" s="2">
        <v>2.1785358834879503E-4</v>
      </c>
      <c r="H3043" s="2">
        <v>2.1785358834879503E-4</v>
      </c>
      <c r="I3043" s="2">
        <v>2.1785358834879503E-4</v>
      </c>
      <c r="J3043" s="2">
        <v>2.1785358834879503E-4</v>
      </c>
      <c r="K3043" s="2">
        <v>2.1785358834879503E-4</v>
      </c>
      <c r="L3043" s="2">
        <v>2.1785358834879503E-4</v>
      </c>
      <c r="M3043" s="2">
        <v>2.1785358834879503E-4</v>
      </c>
      <c r="N3043" t="s">
        <v>680</v>
      </c>
      <c r="O3043" s="29" t="s">
        <v>679</v>
      </c>
      <c r="P3043" t="s">
        <v>678</v>
      </c>
      <c r="Q3043" t="s">
        <v>245</v>
      </c>
    </row>
    <row r="3044" spans="1:17" ht="15.75" x14ac:dyDescent="0.25">
      <c r="A3044" t="s">
        <v>678</v>
      </c>
      <c r="B3044" s="29" t="s">
        <v>217</v>
      </c>
      <c r="C3044" s="2">
        <v>3.6266292726890297E-4</v>
      </c>
      <c r="D3044" s="2">
        <v>3.6266292726890297E-4</v>
      </c>
      <c r="E3044" s="2">
        <v>3.6266292726890297E-4</v>
      </c>
      <c r="F3044" s="2">
        <v>3.6266292726890297E-4</v>
      </c>
      <c r="G3044" s="2">
        <v>3.6266292726890297E-4</v>
      </c>
      <c r="H3044" s="2">
        <v>3.6266292726890297E-4</v>
      </c>
      <c r="I3044" s="2">
        <v>3.6266292726890297E-4</v>
      </c>
      <c r="J3044" s="2">
        <v>3.6266292726890297E-4</v>
      </c>
      <c r="K3044" s="2">
        <v>3.6266292726890297E-4</v>
      </c>
      <c r="L3044" s="2">
        <v>3.6266292726890297E-4</v>
      </c>
      <c r="M3044" s="2">
        <v>3.6266292726890297E-4</v>
      </c>
      <c r="N3044" t="s">
        <v>680</v>
      </c>
      <c r="O3044" s="32" t="s">
        <v>679</v>
      </c>
      <c r="P3044" t="s">
        <v>678</v>
      </c>
      <c r="Q3044" t="s">
        <v>245</v>
      </c>
    </row>
    <row r="3045" spans="1:17" ht="15.75" x14ac:dyDescent="0.25">
      <c r="A3045" t="s">
        <v>678</v>
      </c>
      <c r="B3045" s="29" t="s">
        <v>674</v>
      </c>
      <c r="C3045" s="2">
        <v>5.6176206299900928E-5</v>
      </c>
      <c r="D3045" s="2">
        <v>5.6176206299900928E-5</v>
      </c>
      <c r="E3045" s="2">
        <v>5.6176206299900928E-5</v>
      </c>
      <c r="F3045" s="2">
        <v>5.6176206299900928E-5</v>
      </c>
      <c r="G3045" s="2">
        <v>5.6176206299900928E-5</v>
      </c>
      <c r="H3045" s="2">
        <v>5.6176206299900928E-5</v>
      </c>
      <c r="I3045" s="2">
        <v>5.6176206299900928E-5</v>
      </c>
      <c r="J3045" s="2">
        <v>5.6176206299900928E-5</v>
      </c>
      <c r="K3045" s="2">
        <v>5.6176206299900928E-5</v>
      </c>
      <c r="L3045" s="2">
        <v>5.6176206299900928E-5</v>
      </c>
      <c r="M3045" s="2">
        <v>5.6176206299900928E-5</v>
      </c>
      <c r="N3045" t="s">
        <v>680</v>
      </c>
      <c r="O3045" s="29" t="s">
        <v>679</v>
      </c>
      <c r="P3045" t="s">
        <v>678</v>
      </c>
      <c r="Q3045" t="s">
        <v>245</v>
      </c>
    </row>
    <row r="3046" spans="1:17" ht="15.75" x14ac:dyDescent="0.25">
      <c r="A3046" t="s">
        <v>678</v>
      </c>
      <c r="B3046" s="29" t="s">
        <v>154</v>
      </c>
      <c r="C3046" s="2">
        <v>4.817341625809525E-3</v>
      </c>
      <c r="D3046" s="2">
        <v>4.817341625809525E-3</v>
      </c>
      <c r="E3046" s="2">
        <v>4.817341625809525E-3</v>
      </c>
      <c r="F3046" s="2">
        <v>4.817341625809525E-3</v>
      </c>
      <c r="G3046" s="2">
        <v>4.817341625809525E-3</v>
      </c>
      <c r="H3046" s="2">
        <v>4.817341625809525E-3</v>
      </c>
      <c r="I3046" s="2">
        <v>4.817341625809525E-3</v>
      </c>
      <c r="J3046" s="2">
        <v>4.817341625809525E-3</v>
      </c>
      <c r="K3046" s="2">
        <v>4.817341625809525E-3</v>
      </c>
      <c r="L3046" s="2">
        <v>4.817341625809525E-3</v>
      </c>
      <c r="M3046" s="2">
        <v>4.817341625809525E-3</v>
      </c>
      <c r="N3046" t="s">
        <v>256</v>
      </c>
      <c r="O3046" s="32" t="s">
        <v>280</v>
      </c>
      <c r="P3046" t="s">
        <v>678</v>
      </c>
      <c r="Q3046" t="s">
        <v>245</v>
      </c>
    </row>
    <row r="3047" spans="1:17" ht="15.75" x14ac:dyDescent="0.25">
      <c r="A3047" t="s">
        <v>678</v>
      </c>
      <c r="B3047" s="29" t="s">
        <v>154</v>
      </c>
      <c r="C3047" s="2">
        <v>1.7711445285225494E-3</v>
      </c>
      <c r="D3047" s="2">
        <v>1.7711445285225494E-3</v>
      </c>
      <c r="E3047" s="2">
        <v>1.7711445285225494E-3</v>
      </c>
      <c r="F3047" s="2">
        <v>1.7711445285225494E-3</v>
      </c>
      <c r="G3047" s="2">
        <v>1.7711445285225494E-3</v>
      </c>
      <c r="H3047" s="2">
        <v>1.7711445285225494E-3</v>
      </c>
      <c r="I3047" s="2">
        <v>1.7711445285225494E-3</v>
      </c>
      <c r="J3047" s="2">
        <v>1.7711445285225494E-3</v>
      </c>
      <c r="K3047" s="2">
        <v>1.7711445285225494E-3</v>
      </c>
      <c r="L3047" s="2">
        <v>1.7711445285225494E-3</v>
      </c>
      <c r="M3047" s="2">
        <v>1.7711445285225494E-3</v>
      </c>
      <c r="N3047" t="s">
        <v>680</v>
      </c>
      <c r="O3047" s="29" t="s">
        <v>679</v>
      </c>
      <c r="P3047" t="s">
        <v>678</v>
      </c>
      <c r="Q3047" t="s">
        <v>245</v>
      </c>
    </row>
    <row r="3048" spans="1:17" ht="15.75" x14ac:dyDescent="0.25">
      <c r="A3048" t="s">
        <v>678</v>
      </c>
      <c r="B3048" s="29" t="s">
        <v>91</v>
      </c>
      <c r="C3048" s="2">
        <v>5.2009799647090736E-3</v>
      </c>
      <c r="D3048" s="2">
        <v>5.2009799647090736E-3</v>
      </c>
      <c r="E3048" s="2">
        <v>5.2009799647090736E-3</v>
      </c>
      <c r="F3048" s="2">
        <v>5.2009799647090736E-3</v>
      </c>
      <c r="G3048" s="2">
        <v>5.2009799647090736E-3</v>
      </c>
      <c r="H3048" s="2">
        <v>5.2009799647090736E-3</v>
      </c>
      <c r="I3048" s="2">
        <v>5.2009799647090736E-3</v>
      </c>
      <c r="J3048" s="2">
        <v>5.2009799647090736E-3</v>
      </c>
      <c r="K3048" s="2">
        <v>5.2009799647090736E-3</v>
      </c>
      <c r="L3048" s="2">
        <v>5.2009799647090736E-3</v>
      </c>
      <c r="M3048" s="2">
        <v>5.2009799647090736E-3</v>
      </c>
      <c r="N3048" t="s">
        <v>680</v>
      </c>
      <c r="O3048" s="29" t="s">
        <v>679</v>
      </c>
      <c r="P3048" t="s">
        <v>678</v>
      </c>
      <c r="Q3048" t="s">
        <v>245</v>
      </c>
    </row>
    <row r="3049" spans="1:17" ht="15.75" x14ac:dyDescent="0.25">
      <c r="A3049" t="s">
        <v>678</v>
      </c>
      <c r="B3049" s="29" t="s">
        <v>117</v>
      </c>
      <c r="C3049" s="2">
        <v>6.0523466488456917E-3</v>
      </c>
      <c r="D3049" s="2">
        <v>6.0523466488456917E-3</v>
      </c>
      <c r="E3049" s="2">
        <v>6.0523466488456917E-3</v>
      </c>
      <c r="F3049" s="2">
        <v>6.0523466488456917E-3</v>
      </c>
      <c r="G3049" s="2">
        <v>6.0523466488456917E-3</v>
      </c>
      <c r="H3049" s="2">
        <v>6.0523466488456917E-3</v>
      </c>
      <c r="I3049" s="2">
        <v>6.0523466488456917E-3</v>
      </c>
      <c r="J3049" s="2">
        <v>6.0523466488456917E-3</v>
      </c>
      <c r="K3049" s="2">
        <v>6.0523466488456917E-3</v>
      </c>
      <c r="L3049" s="2">
        <v>6.0523466488456917E-3</v>
      </c>
      <c r="M3049" s="2">
        <v>6.0523466488456917E-3</v>
      </c>
      <c r="N3049" t="s">
        <v>680</v>
      </c>
      <c r="O3049" s="29" t="s">
        <v>679</v>
      </c>
      <c r="P3049" t="s">
        <v>678</v>
      </c>
      <c r="Q3049" t="s">
        <v>245</v>
      </c>
    </row>
    <row r="3050" spans="1:17" ht="15.75" x14ac:dyDescent="0.25">
      <c r="A3050" t="s">
        <v>678</v>
      </c>
      <c r="B3050" s="29" t="s">
        <v>93</v>
      </c>
      <c r="C3050" s="2">
        <v>6.6190201237356994E-3</v>
      </c>
      <c r="D3050" s="2">
        <v>6.6190201237356994E-3</v>
      </c>
      <c r="E3050" s="2">
        <v>6.6190201237356994E-3</v>
      </c>
      <c r="F3050" s="2">
        <v>6.6190201237356994E-3</v>
      </c>
      <c r="G3050" s="2">
        <v>6.6190201237356994E-3</v>
      </c>
      <c r="H3050" s="2">
        <v>6.6190201237356994E-3</v>
      </c>
      <c r="I3050" s="2">
        <v>6.6190201237356994E-3</v>
      </c>
      <c r="J3050" s="2">
        <v>6.6190201237356994E-3</v>
      </c>
      <c r="K3050" s="2">
        <v>6.6190201237356994E-3</v>
      </c>
      <c r="L3050" s="2">
        <v>6.6190201237356994E-3</v>
      </c>
      <c r="M3050" s="2">
        <v>6.6190201237356994E-3</v>
      </c>
      <c r="N3050" t="s">
        <v>680</v>
      </c>
      <c r="O3050" s="29" t="s">
        <v>679</v>
      </c>
      <c r="P3050" t="s">
        <v>678</v>
      </c>
      <c r="Q3050" t="s">
        <v>245</v>
      </c>
    </row>
    <row r="3051" spans="1:17" ht="15.75" x14ac:dyDescent="0.25">
      <c r="A3051" t="s">
        <v>678</v>
      </c>
      <c r="B3051" s="29" t="s">
        <v>96</v>
      </c>
      <c r="C3051" s="2">
        <v>7.5906194079537834E-4</v>
      </c>
      <c r="D3051" s="2">
        <v>7.5906194079537834E-4</v>
      </c>
      <c r="E3051" s="2">
        <v>7.5906194079537834E-4</v>
      </c>
      <c r="F3051" s="2">
        <v>7.5906194079537834E-4</v>
      </c>
      <c r="G3051" s="2">
        <v>7.5906194079537834E-4</v>
      </c>
      <c r="H3051" s="2">
        <v>7.5906194079537834E-4</v>
      </c>
      <c r="I3051" s="2">
        <v>7.5906194079537834E-4</v>
      </c>
      <c r="J3051" s="2">
        <v>7.5906194079537834E-4</v>
      </c>
      <c r="K3051" s="2">
        <v>7.5906194079537834E-4</v>
      </c>
      <c r="L3051" s="2">
        <v>7.5906194079537834E-4</v>
      </c>
      <c r="M3051" s="2">
        <v>7.5906194079537834E-4</v>
      </c>
      <c r="N3051" t="s">
        <v>680</v>
      </c>
      <c r="O3051" s="29" t="s">
        <v>679</v>
      </c>
      <c r="P3051" t="s">
        <v>678</v>
      </c>
      <c r="Q3051" t="s">
        <v>245</v>
      </c>
    </row>
    <row r="3052" spans="1:17" ht="15.75" x14ac:dyDescent="0.25">
      <c r="A3052" t="s">
        <v>678</v>
      </c>
      <c r="B3052" s="29" t="s">
        <v>675</v>
      </c>
      <c r="C3052" s="2">
        <v>1.1757110400979615E-3</v>
      </c>
      <c r="D3052" s="2">
        <v>1.1757110400979615E-3</v>
      </c>
      <c r="E3052" s="2">
        <v>1.1757110400979615E-3</v>
      </c>
      <c r="F3052" s="2">
        <v>1.1757110400979615E-3</v>
      </c>
      <c r="G3052" s="2">
        <v>1.1757110400979615E-3</v>
      </c>
      <c r="H3052" s="2">
        <v>1.1757110400979615E-3</v>
      </c>
      <c r="I3052" s="2">
        <v>1.1757110400979615E-3</v>
      </c>
      <c r="J3052" s="2">
        <v>1.1757110400979615E-3</v>
      </c>
      <c r="K3052" s="2">
        <v>1.1757110400979615E-3</v>
      </c>
      <c r="L3052" s="2">
        <v>1.1757110400979615E-3</v>
      </c>
      <c r="M3052" s="2">
        <v>1.1757110400979615E-3</v>
      </c>
      <c r="N3052" t="s">
        <v>680</v>
      </c>
      <c r="O3052" s="29" t="s">
        <v>679</v>
      </c>
      <c r="P3052" t="s">
        <v>678</v>
      </c>
      <c r="Q3052" t="s">
        <v>245</v>
      </c>
    </row>
    <row r="3053" spans="1:17" ht="15.75" x14ac:dyDescent="0.25">
      <c r="A3053" t="s">
        <v>678</v>
      </c>
      <c r="B3053" s="29" t="s">
        <v>130</v>
      </c>
      <c r="C3053" s="2">
        <v>1.2594805536160351E-3</v>
      </c>
      <c r="D3053" s="2">
        <v>1.2594805536160351E-3</v>
      </c>
      <c r="E3053" s="2">
        <v>1.2594805536160351E-3</v>
      </c>
      <c r="F3053" s="2">
        <v>1.2594805536160351E-3</v>
      </c>
      <c r="G3053" s="2">
        <v>1.2594805536160351E-3</v>
      </c>
      <c r="H3053" s="2">
        <v>1.2594805536160351E-3</v>
      </c>
      <c r="I3053" s="2">
        <v>1.2594805536160351E-3</v>
      </c>
      <c r="J3053" s="2">
        <v>1.2594805536160351E-3</v>
      </c>
      <c r="K3053" s="2">
        <v>1.2594805536160351E-3</v>
      </c>
      <c r="L3053" s="2">
        <v>1.2594805536160351E-3</v>
      </c>
      <c r="M3053" s="2">
        <v>1.2594805536160351E-3</v>
      </c>
      <c r="N3053" t="s">
        <v>256</v>
      </c>
      <c r="O3053" s="29" t="s">
        <v>280</v>
      </c>
      <c r="P3053" t="s">
        <v>678</v>
      </c>
      <c r="Q3053" t="s">
        <v>245</v>
      </c>
    </row>
    <row r="3054" spans="1:17" ht="15.75" x14ac:dyDescent="0.25">
      <c r="A3054" t="s">
        <v>678</v>
      </c>
      <c r="B3054" s="29" t="s">
        <v>130</v>
      </c>
      <c r="C3054" s="2">
        <v>7.1970317349487724E-3</v>
      </c>
      <c r="D3054" s="2">
        <v>7.1970317349487724E-3</v>
      </c>
      <c r="E3054" s="2">
        <v>7.1970317349487724E-3</v>
      </c>
      <c r="F3054" s="2">
        <v>7.1970317349487724E-3</v>
      </c>
      <c r="G3054" s="2">
        <v>7.1970317349487724E-3</v>
      </c>
      <c r="H3054" s="2">
        <v>7.1970317349487724E-3</v>
      </c>
      <c r="I3054" s="2">
        <v>7.1970317349487724E-3</v>
      </c>
      <c r="J3054" s="2">
        <v>7.1970317349487724E-3</v>
      </c>
      <c r="K3054" s="2">
        <v>7.1970317349487724E-3</v>
      </c>
      <c r="L3054" s="2">
        <v>7.1970317349487724E-3</v>
      </c>
      <c r="M3054" s="2">
        <v>7.1970317349487724E-3</v>
      </c>
      <c r="N3054" t="s">
        <v>680</v>
      </c>
      <c r="O3054" s="29" t="s">
        <v>679</v>
      </c>
      <c r="P3054" t="s">
        <v>678</v>
      </c>
      <c r="Q3054" t="s">
        <v>245</v>
      </c>
    </row>
    <row r="3055" spans="1:17" ht="15.75" x14ac:dyDescent="0.25">
      <c r="A3055" t="s">
        <v>678</v>
      </c>
      <c r="B3055" s="29" t="s">
        <v>132</v>
      </c>
      <c r="C3055" s="2">
        <v>9.8680020241764203E-4</v>
      </c>
      <c r="D3055" s="2">
        <v>9.8680020241764203E-4</v>
      </c>
      <c r="E3055" s="2">
        <v>9.8680020241764203E-4</v>
      </c>
      <c r="F3055" s="2">
        <v>9.8680020241764203E-4</v>
      </c>
      <c r="G3055" s="2">
        <v>9.8680020241764203E-4</v>
      </c>
      <c r="H3055" s="2">
        <v>9.8680020241764203E-4</v>
      </c>
      <c r="I3055" s="2">
        <v>9.8680020241764203E-4</v>
      </c>
      <c r="J3055" s="2">
        <v>9.8680020241764203E-4</v>
      </c>
      <c r="K3055" s="2">
        <v>9.8680020241764203E-4</v>
      </c>
      <c r="L3055" s="2">
        <v>9.8680020241764203E-4</v>
      </c>
      <c r="M3055" s="2">
        <v>9.8680020241764203E-4</v>
      </c>
      <c r="N3055" t="s">
        <v>256</v>
      </c>
      <c r="O3055" s="30" t="s">
        <v>280</v>
      </c>
      <c r="P3055" t="s">
        <v>678</v>
      </c>
      <c r="Q3055" t="s">
        <v>245</v>
      </c>
    </row>
    <row r="3056" spans="1:17" ht="15.75" x14ac:dyDescent="0.25">
      <c r="A3056" t="s">
        <v>678</v>
      </c>
      <c r="B3056" s="29" t="s">
        <v>132</v>
      </c>
      <c r="C3056" s="2">
        <v>3.0924745736108007E-4</v>
      </c>
      <c r="D3056" s="2">
        <v>3.0924745736108007E-4</v>
      </c>
      <c r="E3056" s="2">
        <v>3.0924745736108007E-4</v>
      </c>
      <c r="F3056" s="2">
        <v>3.0924745736108007E-4</v>
      </c>
      <c r="G3056" s="2">
        <v>3.0924745736108007E-4</v>
      </c>
      <c r="H3056" s="2">
        <v>3.0924745736108007E-4</v>
      </c>
      <c r="I3056" s="2">
        <v>3.0924745736108007E-4</v>
      </c>
      <c r="J3056" s="2">
        <v>3.0924745736108007E-4</v>
      </c>
      <c r="K3056" s="2">
        <v>3.0924745736108007E-4</v>
      </c>
      <c r="L3056" s="2">
        <v>3.0924745736108007E-4</v>
      </c>
      <c r="M3056" s="2">
        <v>3.0924745736108007E-4</v>
      </c>
      <c r="N3056" t="s">
        <v>680</v>
      </c>
      <c r="O3056" s="29" t="s">
        <v>679</v>
      </c>
      <c r="P3056" t="s">
        <v>678</v>
      </c>
      <c r="Q3056" t="s">
        <v>245</v>
      </c>
    </row>
    <row r="3057" spans="1:17" ht="15.75" x14ac:dyDescent="0.25">
      <c r="A3057" t="s">
        <v>678</v>
      </c>
      <c r="B3057" s="29" t="s">
        <v>151</v>
      </c>
      <c r="C3057" s="2">
        <v>3.9358767300501103E-3</v>
      </c>
      <c r="D3057" s="2">
        <v>3.9358767300501103E-3</v>
      </c>
      <c r="E3057" s="2">
        <v>3.9358767300501103E-3</v>
      </c>
      <c r="F3057" s="2">
        <v>3.9358767300501103E-3</v>
      </c>
      <c r="G3057" s="2">
        <v>3.9358767300501103E-3</v>
      </c>
      <c r="H3057" s="2">
        <v>3.9358767300501103E-3</v>
      </c>
      <c r="I3057" s="2">
        <v>3.9358767300501103E-3</v>
      </c>
      <c r="J3057" s="2">
        <v>3.9358767300501103E-3</v>
      </c>
      <c r="K3057" s="2">
        <v>3.9358767300501103E-3</v>
      </c>
      <c r="L3057" s="2">
        <v>3.9358767300501103E-3</v>
      </c>
      <c r="M3057" s="2">
        <v>3.9358767300501103E-3</v>
      </c>
      <c r="N3057" t="s">
        <v>256</v>
      </c>
      <c r="O3057" s="32" t="s">
        <v>280</v>
      </c>
      <c r="P3057" t="s">
        <v>678</v>
      </c>
      <c r="Q3057" t="s">
        <v>245</v>
      </c>
    </row>
    <row r="3058" spans="1:17" ht="15.75" x14ac:dyDescent="0.25">
      <c r="A3058" t="s">
        <v>678</v>
      </c>
      <c r="B3058" s="29" t="s">
        <v>151</v>
      </c>
      <c r="C3058" s="2">
        <v>3.4003163607111486E-4</v>
      </c>
      <c r="D3058" s="2">
        <v>3.4003163607111486E-4</v>
      </c>
      <c r="E3058" s="2">
        <v>3.4003163607111486E-4</v>
      </c>
      <c r="F3058" s="2">
        <v>3.4003163607111486E-4</v>
      </c>
      <c r="G3058" s="2">
        <v>3.4003163607111486E-4</v>
      </c>
      <c r="H3058" s="2">
        <v>3.4003163607111486E-4</v>
      </c>
      <c r="I3058" s="2">
        <v>3.4003163607111486E-4</v>
      </c>
      <c r="J3058" s="2">
        <v>3.4003163607111486E-4</v>
      </c>
      <c r="K3058" s="2">
        <v>3.4003163607111486E-4</v>
      </c>
      <c r="L3058" s="2">
        <v>3.4003163607111486E-4</v>
      </c>
      <c r="M3058" s="2">
        <v>3.4003163607111486E-4</v>
      </c>
      <c r="N3058" t="s">
        <v>680</v>
      </c>
      <c r="O3058" s="29" t="s">
        <v>679</v>
      </c>
      <c r="P3058" t="s">
        <v>678</v>
      </c>
      <c r="Q3058" t="s">
        <v>245</v>
      </c>
    </row>
    <row r="3059" spans="1:17" ht="15.75" x14ac:dyDescent="0.25">
      <c r="A3059" t="s">
        <v>678</v>
      </c>
      <c r="B3059" s="29" t="s">
        <v>178</v>
      </c>
      <c r="C3059" s="2">
        <v>6.167533602076561E-5</v>
      </c>
      <c r="D3059" s="2">
        <v>6.167533602076561E-5</v>
      </c>
      <c r="E3059" s="2">
        <v>6.167533602076561E-5</v>
      </c>
      <c r="F3059" s="2">
        <v>6.167533602076561E-5</v>
      </c>
      <c r="G3059" s="2">
        <v>6.167533602076561E-5</v>
      </c>
      <c r="H3059" s="2">
        <v>6.167533602076561E-5</v>
      </c>
      <c r="I3059" s="2">
        <v>6.167533602076561E-5</v>
      </c>
      <c r="J3059" s="2">
        <v>6.167533602076561E-5</v>
      </c>
      <c r="K3059" s="2">
        <v>6.167533602076561E-5</v>
      </c>
      <c r="L3059" s="2">
        <v>6.167533602076561E-5</v>
      </c>
      <c r="M3059" s="2">
        <v>6.167533602076561E-5</v>
      </c>
      <c r="N3059" t="s">
        <v>256</v>
      </c>
      <c r="O3059" t="s">
        <v>280</v>
      </c>
      <c r="P3059" t="s">
        <v>678</v>
      </c>
      <c r="Q3059" t="s">
        <v>245</v>
      </c>
    </row>
    <row r="3060" spans="1:17" ht="15.75" x14ac:dyDescent="0.25">
      <c r="A3060" t="s">
        <v>678</v>
      </c>
      <c r="B3060" s="29" t="s">
        <v>178</v>
      </c>
      <c r="C3060" s="2">
        <v>2.3351541873299262E-4</v>
      </c>
      <c r="D3060" s="2">
        <v>2.3351541873299262E-4</v>
      </c>
      <c r="E3060" s="2">
        <v>2.3351541873299262E-4</v>
      </c>
      <c r="F3060" s="2">
        <v>2.3351541873299262E-4</v>
      </c>
      <c r="G3060" s="2">
        <v>2.3351541873299262E-4</v>
      </c>
      <c r="H3060" s="2">
        <v>2.3351541873299262E-4</v>
      </c>
      <c r="I3060" s="2">
        <v>2.3351541873299262E-4</v>
      </c>
      <c r="J3060" s="2">
        <v>2.3351541873299262E-4</v>
      </c>
      <c r="K3060" s="2">
        <v>2.3351541873299262E-4</v>
      </c>
      <c r="L3060" s="2">
        <v>2.3351541873299262E-4</v>
      </c>
      <c r="M3060" s="2">
        <v>2.3351541873299262E-4</v>
      </c>
      <c r="N3060" t="s">
        <v>680</v>
      </c>
      <c r="O3060" s="31" t="s">
        <v>679</v>
      </c>
      <c r="P3060" t="s">
        <v>678</v>
      </c>
      <c r="Q3060" t="s">
        <v>245</v>
      </c>
    </row>
    <row r="3061" spans="1:17" ht="15.75" x14ac:dyDescent="0.25">
      <c r="A3061" t="s">
        <v>678</v>
      </c>
      <c r="B3061" s="29" t="s">
        <v>120</v>
      </c>
      <c r="C3061" s="2">
        <v>1.2335067204153122E-4</v>
      </c>
      <c r="D3061" s="2">
        <v>1.2335067204153122E-4</v>
      </c>
      <c r="E3061" s="2">
        <v>1.2335067204153122E-4</v>
      </c>
      <c r="F3061" s="2">
        <v>1.2335067204153122E-4</v>
      </c>
      <c r="G3061" s="2">
        <v>1.2335067204153122E-4</v>
      </c>
      <c r="H3061" s="2">
        <v>1.2335067204153122E-4</v>
      </c>
      <c r="I3061" s="2">
        <v>1.2335067204153122E-4</v>
      </c>
      <c r="J3061" s="2">
        <v>1.2335067204153122E-4</v>
      </c>
      <c r="K3061" s="2">
        <v>1.2335067204153122E-4</v>
      </c>
      <c r="L3061" s="2">
        <v>1.2335067204153122E-4</v>
      </c>
      <c r="M3061" s="2">
        <v>1.2335067204153122E-4</v>
      </c>
      <c r="N3061" t="s">
        <v>256</v>
      </c>
      <c r="O3061" t="s">
        <v>280</v>
      </c>
      <c r="P3061" t="s">
        <v>678</v>
      </c>
      <c r="Q3061" t="s">
        <v>245</v>
      </c>
    </row>
    <row r="3062" spans="1:17" ht="15.75" x14ac:dyDescent="0.25">
      <c r="A3062" t="s">
        <v>678</v>
      </c>
      <c r="B3062" s="29" t="s">
        <v>120</v>
      </c>
      <c r="C3062" s="2">
        <v>4.6703083746598524E-4</v>
      </c>
      <c r="D3062" s="2">
        <v>4.6703083746598524E-4</v>
      </c>
      <c r="E3062" s="2">
        <v>4.6703083746598524E-4</v>
      </c>
      <c r="F3062" s="2">
        <v>4.6703083746598524E-4</v>
      </c>
      <c r="G3062" s="2">
        <v>4.6703083746598524E-4</v>
      </c>
      <c r="H3062" s="2">
        <v>4.6703083746598524E-4</v>
      </c>
      <c r="I3062" s="2">
        <v>4.6703083746598524E-4</v>
      </c>
      <c r="J3062" s="2">
        <v>4.6703083746598524E-4</v>
      </c>
      <c r="K3062" s="2">
        <v>4.6703083746598524E-4</v>
      </c>
      <c r="L3062" s="2">
        <v>4.6703083746598524E-4</v>
      </c>
      <c r="M3062" s="2">
        <v>4.6703083746598524E-4</v>
      </c>
      <c r="N3062" t="s">
        <v>680</v>
      </c>
      <c r="O3062" s="31" t="s">
        <v>679</v>
      </c>
      <c r="P3062" t="s">
        <v>678</v>
      </c>
      <c r="Q3062" t="s">
        <v>245</v>
      </c>
    </row>
    <row r="3063" spans="1:17" ht="15.75" x14ac:dyDescent="0.25">
      <c r="A3063" t="s">
        <v>678</v>
      </c>
      <c r="B3063" s="29" t="s">
        <v>107</v>
      </c>
      <c r="C3063" s="2">
        <v>9.1368566947591837E-2</v>
      </c>
      <c r="D3063" s="2">
        <v>9.1368566947591837E-2</v>
      </c>
      <c r="E3063" s="2">
        <v>9.1368566947591837E-2</v>
      </c>
      <c r="F3063" s="2">
        <v>9.1368566947591837E-2</v>
      </c>
      <c r="G3063" s="2">
        <v>9.1368566947591837E-2</v>
      </c>
      <c r="H3063" s="2">
        <v>9.1368566947591837E-2</v>
      </c>
      <c r="I3063" s="2">
        <v>9.1368566947591837E-2</v>
      </c>
      <c r="J3063" s="2">
        <v>9.1368566947591837E-2</v>
      </c>
      <c r="K3063" s="2">
        <v>9.1368566947591837E-2</v>
      </c>
      <c r="L3063" s="2">
        <v>9.1368566947591837E-2</v>
      </c>
      <c r="M3063" s="2">
        <v>9.1368566947591837E-2</v>
      </c>
      <c r="N3063" t="s">
        <v>256</v>
      </c>
      <c r="O3063" s="29" t="s">
        <v>679</v>
      </c>
      <c r="P3063" t="s">
        <v>678</v>
      </c>
      <c r="Q3063" t="s">
        <v>245</v>
      </c>
    </row>
    <row r="3064" spans="1:17" ht="15.75" x14ac:dyDescent="0.25">
      <c r="A3064" t="s">
        <v>678</v>
      </c>
      <c r="B3064" s="29" t="s">
        <v>179</v>
      </c>
      <c r="C3064" s="2">
        <v>4.1326705665526152E-4</v>
      </c>
      <c r="D3064" s="2">
        <v>4.1326705665526152E-4</v>
      </c>
      <c r="E3064" s="2">
        <v>4.1326705665526152E-4</v>
      </c>
      <c r="F3064" s="2">
        <v>4.1326705665526152E-4</v>
      </c>
      <c r="G3064" s="2">
        <v>4.1326705665526152E-4</v>
      </c>
      <c r="H3064" s="2">
        <v>4.1326705665526152E-4</v>
      </c>
      <c r="I3064" s="2">
        <v>4.1326705665526152E-4</v>
      </c>
      <c r="J3064" s="2">
        <v>4.1326705665526152E-4</v>
      </c>
      <c r="K3064" s="2">
        <v>4.1326705665526152E-4</v>
      </c>
      <c r="L3064" s="2">
        <v>4.1326705665526152E-4</v>
      </c>
      <c r="M3064" s="2">
        <v>4.1326705665526152E-4</v>
      </c>
      <c r="N3064" t="s">
        <v>256</v>
      </c>
      <c r="O3064" s="29" t="s">
        <v>280</v>
      </c>
      <c r="P3064" t="s">
        <v>678</v>
      </c>
      <c r="Q3064" t="s">
        <v>245</v>
      </c>
    </row>
    <row r="3065" spans="1:17" ht="15.75" x14ac:dyDescent="0.25">
      <c r="A3065" t="s">
        <v>678</v>
      </c>
      <c r="B3065" s="29" t="s">
        <v>135</v>
      </c>
      <c r="C3065" s="2">
        <v>6.8877842775876929E-5</v>
      </c>
      <c r="D3065" s="2">
        <v>6.8877842775876929E-5</v>
      </c>
      <c r="E3065" s="2">
        <v>6.8877842775876929E-5</v>
      </c>
      <c r="F3065" s="2">
        <v>6.8877842775876929E-5</v>
      </c>
      <c r="G3065" s="2">
        <v>6.8877842775876929E-5</v>
      </c>
      <c r="H3065" s="2">
        <v>6.8877842775876929E-5</v>
      </c>
      <c r="I3065" s="2">
        <v>6.8877842775876929E-5</v>
      </c>
      <c r="J3065" s="2">
        <v>6.8877842775876929E-5</v>
      </c>
      <c r="K3065" s="2">
        <v>6.8877842775876929E-5</v>
      </c>
      <c r="L3065" s="2">
        <v>6.8877842775876929E-5</v>
      </c>
      <c r="M3065" s="2">
        <v>6.8877842775876929E-5</v>
      </c>
      <c r="N3065" t="s">
        <v>256</v>
      </c>
      <c r="O3065" s="29" t="s">
        <v>280</v>
      </c>
      <c r="P3065" t="s">
        <v>678</v>
      </c>
      <c r="Q3065" t="s">
        <v>245</v>
      </c>
    </row>
    <row r="3066" spans="1:17" ht="15.75" x14ac:dyDescent="0.25">
      <c r="A3066" t="s">
        <v>678</v>
      </c>
      <c r="B3066" s="29" t="s">
        <v>135</v>
      </c>
      <c r="C3066" s="2">
        <v>1.1990367324045514E-3</v>
      </c>
      <c r="D3066" s="2">
        <v>1.1990367324045514E-3</v>
      </c>
      <c r="E3066" s="2">
        <v>1.1990367324045514E-3</v>
      </c>
      <c r="F3066" s="2">
        <v>1.1990367324045514E-3</v>
      </c>
      <c r="G3066" s="2">
        <v>1.1990367324045514E-3</v>
      </c>
      <c r="H3066" s="2">
        <v>1.1990367324045514E-3</v>
      </c>
      <c r="I3066" s="2">
        <v>1.1990367324045514E-3</v>
      </c>
      <c r="J3066" s="2">
        <v>1.1990367324045514E-3</v>
      </c>
      <c r="K3066" s="2">
        <v>1.1990367324045514E-3</v>
      </c>
      <c r="L3066" s="2">
        <v>1.1990367324045514E-3</v>
      </c>
      <c r="M3066" s="2">
        <v>1.1990367324045514E-3</v>
      </c>
      <c r="N3066" t="s">
        <v>680</v>
      </c>
      <c r="O3066" s="29" t="s">
        <v>679</v>
      </c>
      <c r="P3066" t="s">
        <v>678</v>
      </c>
      <c r="Q3066" t="s">
        <v>245</v>
      </c>
    </row>
    <row r="3067" spans="1:17" ht="15.75" x14ac:dyDescent="0.25">
      <c r="A3067" t="s">
        <v>678</v>
      </c>
      <c r="B3067" s="29" t="s">
        <v>138</v>
      </c>
      <c r="C3067" s="2">
        <v>2.549146470411033E-3</v>
      </c>
      <c r="D3067" s="2">
        <v>2.549146470411033E-3</v>
      </c>
      <c r="E3067" s="2">
        <v>2.549146470411033E-3</v>
      </c>
      <c r="F3067" s="2">
        <v>2.549146470411033E-3</v>
      </c>
      <c r="G3067" s="2">
        <v>2.549146470411033E-3</v>
      </c>
      <c r="H3067" s="2">
        <v>2.549146470411033E-3</v>
      </c>
      <c r="I3067" s="2">
        <v>2.549146470411033E-3</v>
      </c>
      <c r="J3067" s="2">
        <v>2.549146470411033E-3</v>
      </c>
      <c r="K3067" s="2">
        <v>2.549146470411033E-3</v>
      </c>
      <c r="L3067" s="2">
        <v>2.549146470411033E-3</v>
      </c>
      <c r="M3067" s="2">
        <v>2.549146470411033E-3</v>
      </c>
      <c r="N3067" t="s">
        <v>256</v>
      </c>
      <c r="O3067" s="29" t="s">
        <v>280</v>
      </c>
      <c r="P3067" t="s">
        <v>678</v>
      </c>
      <c r="Q3067" t="s">
        <v>245</v>
      </c>
    </row>
    <row r="3068" spans="1:17" ht="15.75" x14ac:dyDescent="0.25">
      <c r="A3068" t="s">
        <v>678</v>
      </c>
      <c r="B3068" s="29" t="s">
        <v>138</v>
      </c>
      <c r="C3068" s="2">
        <v>8.5841190348340745E-4</v>
      </c>
      <c r="D3068" s="2">
        <v>8.5841190348340745E-4</v>
      </c>
      <c r="E3068" s="2">
        <v>8.5841190348340745E-4</v>
      </c>
      <c r="F3068" s="2">
        <v>8.5841190348340745E-4</v>
      </c>
      <c r="G3068" s="2">
        <v>8.5841190348340745E-4</v>
      </c>
      <c r="H3068" s="2">
        <v>8.5841190348340745E-4</v>
      </c>
      <c r="I3068" s="2">
        <v>8.5841190348340745E-4</v>
      </c>
      <c r="J3068" s="2">
        <v>8.5841190348340745E-4</v>
      </c>
      <c r="K3068" s="2">
        <v>8.5841190348340745E-4</v>
      </c>
      <c r="L3068" s="2">
        <v>8.5841190348340745E-4</v>
      </c>
      <c r="M3068" s="2">
        <v>8.5841190348340745E-4</v>
      </c>
      <c r="N3068" t="s">
        <v>680</v>
      </c>
      <c r="O3068" s="29" t="s">
        <v>679</v>
      </c>
      <c r="P3068" t="s">
        <v>678</v>
      </c>
      <c r="Q3068" t="s">
        <v>245</v>
      </c>
    </row>
    <row r="3069" spans="1:17" ht="15.75" x14ac:dyDescent="0.25">
      <c r="A3069" t="s">
        <v>678</v>
      </c>
      <c r="B3069" s="29" t="s">
        <v>112</v>
      </c>
      <c r="C3069" s="2">
        <v>1.1703610590856148E-3</v>
      </c>
      <c r="D3069" s="2">
        <v>1.1703610590856148E-3</v>
      </c>
      <c r="E3069" s="2">
        <v>1.1703610590856148E-3</v>
      </c>
      <c r="F3069" s="2">
        <v>1.1703610590856148E-3</v>
      </c>
      <c r="G3069" s="2">
        <v>1.1703610590856148E-3</v>
      </c>
      <c r="H3069" s="2">
        <v>1.1703610590856148E-3</v>
      </c>
      <c r="I3069" s="2">
        <v>1.1703610590856148E-3</v>
      </c>
      <c r="J3069" s="2">
        <v>1.1703610590856148E-3</v>
      </c>
      <c r="K3069" s="2">
        <v>1.1703610590856148E-3</v>
      </c>
      <c r="L3069" s="2">
        <v>1.1703610590856148E-3</v>
      </c>
      <c r="M3069" s="2">
        <v>1.1703610590856148E-3</v>
      </c>
      <c r="N3069" t="s">
        <v>256</v>
      </c>
      <c r="O3069" s="33" t="s">
        <v>679</v>
      </c>
      <c r="P3069" t="s">
        <v>678</v>
      </c>
      <c r="Q3069" t="s">
        <v>245</v>
      </c>
    </row>
    <row r="3070" spans="1:17" ht="15.75" x14ac:dyDescent="0.25">
      <c r="A3070" t="s">
        <v>678</v>
      </c>
      <c r="B3070" s="29" t="s">
        <v>140</v>
      </c>
      <c r="C3070" s="2">
        <v>1.7008610154859403E-3</v>
      </c>
      <c r="D3070" s="2">
        <v>1.7008610154859403E-3</v>
      </c>
      <c r="E3070" s="2">
        <v>1.7008610154859403E-3</v>
      </c>
      <c r="F3070" s="2">
        <v>1.7008610154859403E-3</v>
      </c>
      <c r="G3070" s="2">
        <v>1.7008610154859403E-3</v>
      </c>
      <c r="H3070" s="2">
        <v>1.7008610154859403E-3</v>
      </c>
      <c r="I3070" s="2">
        <v>1.7008610154859403E-3</v>
      </c>
      <c r="J3070" s="2">
        <v>1.7008610154859403E-3</v>
      </c>
      <c r="K3070" s="2">
        <v>1.7008610154859403E-3</v>
      </c>
      <c r="L3070" s="2">
        <v>1.7008610154859403E-3</v>
      </c>
      <c r="M3070" s="2">
        <v>1.7008610154859403E-3</v>
      </c>
      <c r="N3070" t="s">
        <v>680</v>
      </c>
      <c r="O3070" s="29" t="s">
        <v>679</v>
      </c>
      <c r="P3070" t="s">
        <v>678</v>
      </c>
      <c r="Q3070" t="s">
        <v>245</v>
      </c>
    </row>
    <row r="3071" spans="1:17" x14ac:dyDescent="0.25">
      <c r="A3071" t="s">
        <v>678</v>
      </c>
      <c r="B3071" s="30" t="s">
        <v>183</v>
      </c>
      <c r="C3071" s="2">
        <v>1.4056702607321821E-4</v>
      </c>
      <c r="D3071" s="2">
        <v>1.4056702607321821E-4</v>
      </c>
      <c r="E3071" s="2">
        <v>1.4056702607321821E-4</v>
      </c>
      <c r="F3071" s="2">
        <v>1.4056702607321821E-4</v>
      </c>
      <c r="G3071" s="2">
        <v>1.4056702607321821E-4</v>
      </c>
      <c r="H3071" s="2">
        <v>1.4056702607321821E-4</v>
      </c>
      <c r="I3071" s="2">
        <v>1.4056702607321821E-4</v>
      </c>
      <c r="J3071" s="2">
        <v>1.4056702607321821E-4</v>
      </c>
      <c r="K3071" s="2">
        <v>1.4056702607321821E-4</v>
      </c>
      <c r="L3071" s="2">
        <v>1.4056702607321821E-4</v>
      </c>
      <c r="M3071" s="2">
        <v>1.4056702607321821E-4</v>
      </c>
      <c r="N3071" t="s">
        <v>256</v>
      </c>
      <c r="O3071" s="30" t="s">
        <v>679</v>
      </c>
      <c r="P3071" t="s">
        <v>678</v>
      </c>
      <c r="Q3071" t="s">
        <v>245</v>
      </c>
    </row>
    <row r="3072" spans="1:17" x14ac:dyDescent="0.25">
      <c r="A3072" t="s">
        <v>678</v>
      </c>
      <c r="B3072" s="30" t="s">
        <v>128</v>
      </c>
      <c r="C3072" s="2">
        <v>1.1160881303187453E-3</v>
      </c>
      <c r="D3072" s="2">
        <v>1.1160881303187453E-3</v>
      </c>
      <c r="E3072" s="2">
        <v>1.1160881303187453E-3</v>
      </c>
      <c r="F3072" s="2">
        <v>1.1160881303187453E-3</v>
      </c>
      <c r="G3072" s="2">
        <v>1.1160881303187453E-3</v>
      </c>
      <c r="H3072" s="2">
        <v>1.1160881303187453E-3</v>
      </c>
      <c r="I3072" s="2">
        <v>1.1160881303187453E-3</v>
      </c>
      <c r="J3072" s="2">
        <v>1.1160881303187453E-3</v>
      </c>
      <c r="K3072" s="2">
        <v>1.1160881303187453E-3</v>
      </c>
      <c r="L3072" s="2">
        <v>1.1160881303187453E-3</v>
      </c>
      <c r="M3072" s="2">
        <v>1.1160881303187453E-3</v>
      </c>
      <c r="N3072" t="s">
        <v>256</v>
      </c>
      <c r="O3072" s="30" t="s">
        <v>679</v>
      </c>
      <c r="P3072" t="s">
        <v>678</v>
      </c>
      <c r="Q3072" t="s">
        <v>245</v>
      </c>
    </row>
    <row r="3073" spans="1:17" x14ac:dyDescent="0.25">
      <c r="A3073" t="s">
        <v>678</v>
      </c>
      <c r="B3073" s="30" t="s">
        <v>218</v>
      </c>
      <c r="C3073" s="2">
        <v>3.7475169151119975E-4</v>
      </c>
      <c r="D3073" s="2">
        <v>3.7475169151119975E-4</v>
      </c>
      <c r="E3073" s="2">
        <v>3.7475169151119975E-4</v>
      </c>
      <c r="F3073" s="2">
        <v>3.7475169151119975E-4</v>
      </c>
      <c r="G3073" s="2">
        <v>3.7475169151119975E-4</v>
      </c>
      <c r="H3073" s="2">
        <v>3.7475169151119975E-4</v>
      </c>
      <c r="I3073" s="2">
        <v>3.7475169151119975E-4</v>
      </c>
      <c r="J3073" s="2">
        <v>3.7475169151119975E-4</v>
      </c>
      <c r="K3073" s="2">
        <v>3.7475169151119975E-4</v>
      </c>
      <c r="L3073" s="2">
        <v>3.7475169151119975E-4</v>
      </c>
      <c r="M3073" s="2">
        <v>3.7475169151119975E-4</v>
      </c>
      <c r="N3073" t="s">
        <v>256</v>
      </c>
      <c r="O3073" s="33" t="s">
        <v>679</v>
      </c>
      <c r="P3073" t="s">
        <v>678</v>
      </c>
      <c r="Q3073" t="s">
        <v>245</v>
      </c>
    </row>
    <row r="3074" spans="1:17" x14ac:dyDescent="0.25">
      <c r="A3074" t="s">
        <v>678</v>
      </c>
      <c r="B3074" s="30" t="s">
        <v>161</v>
      </c>
      <c r="C3074" s="2">
        <v>1.7621524577361605E-4</v>
      </c>
      <c r="D3074" s="2">
        <v>1.7621524577361605E-4</v>
      </c>
      <c r="E3074" s="2">
        <v>1.7621524577361605E-4</v>
      </c>
      <c r="F3074" s="2">
        <v>1.7621524577361605E-4</v>
      </c>
      <c r="G3074" s="2">
        <v>1.7621524577361605E-4</v>
      </c>
      <c r="H3074" s="2">
        <v>1.7621524577361605E-4</v>
      </c>
      <c r="I3074" s="2">
        <v>1.7621524577361605E-4</v>
      </c>
      <c r="J3074" s="2">
        <v>1.7621524577361605E-4</v>
      </c>
      <c r="K3074" s="2">
        <v>1.7621524577361605E-4</v>
      </c>
      <c r="L3074" s="2">
        <v>1.7621524577361605E-4</v>
      </c>
      <c r="M3074" s="2">
        <v>1.7621524577361605E-4</v>
      </c>
      <c r="N3074" t="s">
        <v>256</v>
      </c>
      <c r="O3074" t="s">
        <v>280</v>
      </c>
      <c r="P3074" t="s">
        <v>678</v>
      </c>
      <c r="Q3074" t="s">
        <v>245</v>
      </c>
    </row>
    <row r="3075" spans="1:17" ht="15.75" x14ac:dyDescent="0.25">
      <c r="A3075" t="s">
        <v>678</v>
      </c>
      <c r="B3075" s="30" t="s">
        <v>161</v>
      </c>
      <c r="C3075" s="2">
        <v>6.671869106656932E-4</v>
      </c>
      <c r="D3075" s="2">
        <v>6.671869106656932E-4</v>
      </c>
      <c r="E3075" s="2">
        <v>6.671869106656932E-4</v>
      </c>
      <c r="F3075" s="2">
        <v>6.671869106656932E-4</v>
      </c>
      <c r="G3075" s="2">
        <v>6.671869106656932E-4</v>
      </c>
      <c r="H3075" s="2">
        <v>6.671869106656932E-4</v>
      </c>
      <c r="I3075" s="2">
        <v>6.671869106656932E-4</v>
      </c>
      <c r="J3075" s="2">
        <v>6.671869106656932E-4</v>
      </c>
      <c r="K3075" s="2">
        <v>6.671869106656932E-4</v>
      </c>
      <c r="L3075" s="2">
        <v>6.671869106656932E-4</v>
      </c>
      <c r="M3075" s="2">
        <v>6.671869106656932E-4</v>
      </c>
      <c r="N3075" t="s">
        <v>256</v>
      </c>
      <c r="O3075" s="31" t="s">
        <v>679</v>
      </c>
      <c r="P3075" t="s">
        <v>678</v>
      </c>
      <c r="Q3075" t="s">
        <v>245</v>
      </c>
    </row>
    <row r="3076" spans="1:17" x14ac:dyDescent="0.25">
      <c r="A3076" t="s">
        <v>678</v>
      </c>
      <c r="B3076" s="30" t="s">
        <v>175</v>
      </c>
      <c r="C3076" s="2">
        <v>2.1228944350423814E-4</v>
      </c>
      <c r="D3076" s="2">
        <v>2.1228944350423814E-4</v>
      </c>
      <c r="E3076" s="2">
        <v>2.1228944350423814E-4</v>
      </c>
      <c r="F3076" s="2">
        <v>2.1228944350423814E-4</v>
      </c>
      <c r="G3076" s="2">
        <v>2.1228944350423814E-4</v>
      </c>
      <c r="H3076" s="2">
        <v>2.1228944350423814E-4</v>
      </c>
      <c r="I3076" s="2">
        <v>2.1228944350423814E-4</v>
      </c>
      <c r="J3076" s="2">
        <v>2.1228944350423814E-4</v>
      </c>
      <c r="K3076" s="2">
        <v>2.1228944350423814E-4</v>
      </c>
      <c r="L3076" s="2">
        <v>2.1228944350423814E-4</v>
      </c>
      <c r="M3076" s="2">
        <v>2.1228944350423814E-4</v>
      </c>
      <c r="N3076" t="s">
        <v>256</v>
      </c>
      <c r="O3076" t="s">
        <v>280</v>
      </c>
      <c r="P3076" t="s">
        <v>678</v>
      </c>
      <c r="Q3076" t="s">
        <v>245</v>
      </c>
    </row>
    <row r="3077" spans="1:17" ht="15.75" x14ac:dyDescent="0.25">
      <c r="A3077" t="s">
        <v>678</v>
      </c>
      <c r="B3077" s="30" t="s">
        <v>175</v>
      </c>
      <c r="C3077" s="2">
        <v>8.0377119106080509E-4</v>
      </c>
      <c r="D3077" s="2">
        <v>8.0377119106080509E-4</v>
      </c>
      <c r="E3077" s="2">
        <v>8.0377119106080509E-4</v>
      </c>
      <c r="F3077" s="2">
        <v>8.0377119106080509E-4</v>
      </c>
      <c r="G3077" s="2">
        <v>8.0377119106080509E-4</v>
      </c>
      <c r="H3077" s="2">
        <v>8.0377119106080509E-4</v>
      </c>
      <c r="I3077" s="2">
        <v>8.0377119106080509E-4</v>
      </c>
      <c r="J3077" s="2">
        <v>8.0377119106080509E-4</v>
      </c>
      <c r="K3077" s="2">
        <v>8.0377119106080509E-4</v>
      </c>
      <c r="L3077" s="2">
        <v>8.0377119106080509E-4</v>
      </c>
      <c r="M3077" s="2">
        <v>8.0377119106080509E-4</v>
      </c>
      <c r="N3077" t="s">
        <v>256</v>
      </c>
      <c r="O3077" s="31" t="s">
        <v>679</v>
      </c>
      <c r="P3077" t="s">
        <v>678</v>
      </c>
      <c r="Q3077" t="s">
        <v>245</v>
      </c>
    </row>
    <row r="3078" spans="1:17" x14ac:dyDescent="0.25">
      <c r="A3078" t="s">
        <v>678</v>
      </c>
      <c r="B3078" s="30" t="s">
        <v>137</v>
      </c>
      <c r="C3078" s="2">
        <v>8.2477545784340981E-4</v>
      </c>
      <c r="D3078" s="2">
        <v>8.2477545784340981E-4</v>
      </c>
      <c r="E3078" s="2">
        <v>8.2477545784340981E-4</v>
      </c>
      <c r="F3078" s="2">
        <v>8.2477545784340981E-4</v>
      </c>
      <c r="G3078" s="2">
        <v>8.2477545784340981E-4</v>
      </c>
      <c r="H3078" s="2">
        <v>8.2477545784340981E-4</v>
      </c>
      <c r="I3078" s="2">
        <v>8.2477545784340981E-4</v>
      </c>
      <c r="J3078" s="2">
        <v>8.2477545784340981E-4</v>
      </c>
      <c r="K3078" s="2">
        <v>8.2477545784340981E-4</v>
      </c>
      <c r="L3078" s="2">
        <v>8.2477545784340981E-4</v>
      </c>
      <c r="M3078" s="2">
        <v>8.2477545784340981E-4</v>
      </c>
      <c r="N3078" t="s">
        <v>256</v>
      </c>
      <c r="O3078" t="s">
        <v>280</v>
      </c>
      <c r="P3078" t="s">
        <v>678</v>
      </c>
      <c r="Q3078" t="s">
        <v>245</v>
      </c>
    </row>
    <row r="3079" spans="1:17" ht="15.75" x14ac:dyDescent="0.25">
      <c r="A3079" t="s">
        <v>678</v>
      </c>
      <c r="B3079" s="30" t="s">
        <v>137</v>
      </c>
      <c r="C3079" s="2">
        <v>3.1227683353707769E-3</v>
      </c>
      <c r="D3079" s="2">
        <v>3.1227683353707769E-3</v>
      </c>
      <c r="E3079" s="2">
        <v>3.1227683353707769E-3</v>
      </c>
      <c r="F3079" s="2">
        <v>3.1227683353707769E-3</v>
      </c>
      <c r="G3079" s="2">
        <v>3.1227683353707769E-3</v>
      </c>
      <c r="H3079" s="2">
        <v>3.1227683353707769E-3</v>
      </c>
      <c r="I3079" s="2">
        <v>3.1227683353707769E-3</v>
      </c>
      <c r="J3079" s="2">
        <v>3.1227683353707769E-3</v>
      </c>
      <c r="K3079" s="2">
        <v>3.1227683353707769E-3</v>
      </c>
      <c r="L3079" s="2">
        <v>3.1227683353707769E-3</v>
      </c>
      <c r="M3079" s="2">
        <v>3.1227683353707769E-3</v>
      </c>
      <c r="N3079" t="s">
        <v>320</v>
      </c>
      <c r="O3079" s="31" t="s">
        <v>679</v>
      </c>
      <c r="P3079" t="s">
        <v>678</v>
      </c>
      <c r="Q3079" t="s">
        <v>245</v>
      </c>
    </row>
    <row r="3080" spans="1:17" x14ac:dyDescent="0.25">
      <c r="A3080" t="s">
        <v>678</v>
      </c>
      <c r="B3080" s="30" t="s">
        <v>143</v>
      </c>
      <c r="C3080" s="2">
        <v>1.2664526781092669E-2</v>
      </c>
      <c r="D3080" s="2">
        <v>1.2664526781092669E-2</v>
      </c>
      <c r="E3080" s="2">
        <v>1.2664526781092669E-2</v>
      </c>
      <c r="F3080" s="2">
        <v>1.2664526781092669E-2</v>
      </c>
      <c r="G3080" s="2">
        <v>1.2664526781092669E-2</v>
      </c>
      <c r="H3080" s="2">
        <v>1.2664526781092669E-2</v>
      </c>
      <c r="I3080" s="2">
        <v>1.2664526781092669E-2</v>
      </c>
      <c r="J3080" s="2">
        <v>1.2664526781092669E-2</v>
      </c>
      <c r="K3080" s="2">
        <v>1.2664526781092669E-2</v>
      </c>
      <c r="L3080" s="2">
        <v>1.2664526781092669E-2</v>
      </c>
      <c r="M3080" s="2">
        <v>1.2664526781092669E-2</v>
      </c>
      <c r="N3080" t="s">
        <v>256</v>
      </c>
      <c r="O3080" s="30" t="s">
        <v>280</v>
      </c>
      <c r="P3080" t="s">
        <v>678</v>
      </c>
      <c r="Q3080" t="s">
        <v>245</v>
      </c>
    </row>
    <row r="3081" spans="1:17" x14ac:dyDescent="0.25">
      <c r="A3081" t="s">
        <v>678</v>
      </c>
      <c r="B3081" s="30" t="s">
        <v>116</v>
      </c>
      <c r="C3081" s="2">
        <v>7.4746403660812923E-3</v>
      </c>
      <c r="D3081" s="2">
        <v>7.4746403660812923E-3</v>
      </c>
      <c r="E3081" s="2">
        <v>7.4746403660812923E-3</v>
      </c>
      <c r="F3081" s="2">
        <v>7.4746403660812923E-3</v>
      </c>
      <c r="G3081" s="2">
        <v>7.4746403660812923E-3</v>
      </c>
      <c r="H3081" s="2">
        <v>7.4746403660812923E-3</v>
      </c>
      <c r="I3081" s="2">
        <v>7.4746403660812923E-3</v>
      </c>
      <c r="J3081" s="2">
        <v>7.4746403660812923E-3</v>
      </c>
      <c r="K3081" s="2">
        <v>7.4746403660812923E-3</v>
      </c>
      <c r="L3081" s="2">
        <v>7.4746403660812923E-3</v>
      </c>
      <c r="M3081" s="2">
        <v>7.4746403660812923E-3</v>
      </c>
      <c r="N3081" t="s">
        <v>256</v>
      </c>
      <c r="O3081" s="30" t="s">
        <v>280</v>
      </c>
      <c r="P3081" t="s">
        <v>678</v>
      </c>
      <c r="Q3081" t="s">
        <v>245</v>
      </c>
    </row>
    <row r="3082" spans="1:17" x14ac:dyDescent="0.25">
      <c r="A3082" t="s">
        <v>678</v>
      </c>
      <c r="B3082" s="30" t="s">
        <v>116</v>
      </c>
      <c r="C3082" s="2">
        <v>6.9516787381552217E-2</v>
      </c>
      <c r="D3082" s="2">
        <v>6.9516787381552217E-2</v>
      </c>
      <c r="E3082" s="2">
        <v>6.9516787381552217E-2</v>
      </c>
      <c r="F3082" s="2">
        <v>6.9516787381552217E-2</v>
      </c>
      <c r="G3082" s="2">
        <v>6.9516787381552217E-2</v>
      </c>
      <c r="H3082" s="2">
        <v>6.9516787381552217E-2</v>
      </c>
      <c r="I3082" s="2">
        <v>6.9516787381552217E-2</v>
      </c>
      <c r="J3082" s="2">
        <v>6.9516787381552217E-2</v>
      </c>
      <c r="K3082" s="2">
        <v>6.9516787381552217E-2</v>
      </c>
      <c r="L3082" s="2">
        <v>6.9516787381552217E-2</v>
      </c>
      <c r="M3082" s="2">
        <v>6.9516787381552217E-2</v>
      </c>
      <c r="N3082" t="s">
        <v>256</v>
      </c>
      <c r="O3082" s="30" t="s">
        <v>679</v>
      </c>
      <c r="P3082" t="s">
        <v>678</v>
      </c>
      <c r="Q3082" t="s">
        <v>245</v>
      </c>
    </row>
    <row r="3083" spans="1:17" x14ac:dyDescent="0.25">
      <c r="A3083" t="s">
        <v>678</v>
      </c>
      <c r="B3083" s="30" t="s">
        <v>160</v>
      </c>
      <c r="C3083" s="2">
        <v>8.9487975645368002E-6</v>
      </c>
      <c r="D3083" s="2">
        <v>8.9487975645368002E-6</v>
      </c>
      <c r="E3083" s="2">
        <v>8.9487975645368002E-6</v>
      </c>
      <c r="F3083" s="2">
        <v>8.9487975645368002E-6</v>
      </c>
      <c r="G3083" s="2">
        <v>8.9487975645368002E-6</v>
      </c>
      <c r="H3083" s="2">
        <v>8.9487975645368002E-6</v>
      </c>
      <c r="I3083" s="2">
        <v>8.9487975645368002E-6</v>
      </c>
      <c r="J3083" s="2">
        <v>8.9487975645368002E-6</v>
      </c>
      <c r="K3083" s="2">
        <v>8.9487975645368002E-6</v>
      </c>
      <c r="L3083" s="2">
        <v>8.9487975645368002E-6</v>
      </c>
      <c r="M3083" s="2">
        <v>8.9487975645368002E-6</v>
      </c>
      <c r="N3083" t="s">
        <v>256</v>
      </c>
      <c r="O3083" t="s">
        <v>280</v>
      </c>
      <c r="P3083" t="s">
        <v>678</v>
      </c>
      <c r="Q3083" t="s">
        <v>245</v>
      </c>
    </row>
    <row r="3084" spans="1:17" ht="15.75" x14ac:dyDescent="0.25">
      <c r="A3084" t="s">
        <v>678</v>
      </c>
      <c r="B3084" s="30" t="s">
        <v>160</v>
      </c>
      <c r="C3084" s="2">
        <v>3.3881975279972785E-5</v>
      </c>
      <c r="D3084" s="2">
        <v>3.3881975279972785E-5</v>
      </c>
      <c r="E3084" s="2">
        <v>3.3881975279972785E-5</v>
      </c>
      <c r="F3084" s="2">
        <v>3.3881975279972785E-5</v>
      </c>
      <c r="G3084" s="2">
        <v>3.3881975279972785E-5</v>
      </c>
      <c r="H3084" s="2">
        <v>3.3881975279972785E-5</v>
      </c>
      <c r="I3084" s="2">
        <v>3.3881975279972785E-5</v>
      </c>
      <c r="J3084" s="2">
        <v>3.3881975279972785E-5</v>
      </c>
      <c r="K3084" s="2">
        <v>3.3881975279972785E-5</v>
      </c>
      <c r="L3084" s="2">
        <v>3.3881975279972785E-5</v>
      </c>
      <c r="M3084" s="2">
        <v>3.3881975279972785E-5</v>
      </c>
      <c r="N3084" t="s">
        <v>256</v>
      </c>
      <c r="O3084" s="31" t="s">
        <v>679</v>
      </c>
      <c r="P3084" t="s">
        <v>678</v>
      </c>
      <c r="Q3084" t="s">
        <v>245</v>
      </c>
    </row>
    <row r="3085" spans="1:17" x14ac:dyDescent="0.25">
      <c r="A3085" t="s">
        <v>678</v>
      </c>
      <c r="B3085" s="30" t="s">
        <v>160</v>
      </c>
      <c r="C3085" s="2">
        <v>2.8113405214643642E-4</v>
      </c>
      <c r="D3085" s="2">
        <v>2.8113405214643642E-4</v>
      </c>
      <c r="E3085" s="2">
        <v>2.8113405214643642E-4</v>
      </c>
      <c r="F3085" s="2">
        <v>2.8113405214643642E-4</v>
      </c>
      <c r="G3085" s="2">
        <v>2.8113405214643642E-4</v>
      </c>
      <c r="H3085" s="2">
        <v>2.8113405214643642E-4</v>
      </c>
      <c r="I3085" s="2">
        <v>2.8113405214643642E-4</v>
      </c>
      <c r="J3085" s="2">
        <v>2.8113405214643642E-4</v>
      </c>
      <c r="K3085" s="2">
        <v>2.8113405214643642E-4</v>
      </c>
      <c r="L3085" s="2">
        <v>2.8113405214643642E-4</v>
      </c>
      <c r="M3085" s="2">
        <v>2.8113405214643642E-4</v>
      </c>
      <c r="N3085" t="s">
        <v>256</v>
      </c>
      <c r="O3085" s="30" t="s">
        <v>679</v>
      </c>
      <c r="P3085" t="s">
        <v>678</v>
      </c>
      <c r="Q3085" t="s">
        <v>245</v>
      </c>
    </row>
    <row r="3086" spans="1:17" x14ac:dyDescent="0.25">
      <c r="A3086" t="s">
        <v>678</v>
      </c>
      <c r="B3086" s="30" t="s">
        <v>150</v>
      </c>
      <c r="C3086" s="2">
        <v>7.8155266496709331E-3</v>
      </c>
      <c r="D3086" s="2">
        <v>7.8155266496709331E-3</v>
      </c>
      <c r="E3086" s="2">
        <v>7.8155266496709331E-3</v>
      </c>
      <c r="F3086" s="2">
        <v>7.8155266496709331E-3</v>
      </c>
      <c r="G3086" s="2">
        <v>7.8155266496709331E-3</v>
      </c>
      <c r="H3086" s="2">
        <v>7.8155266496709331E-3</v>
      </c>
      <c r="I3086" s="2">
        <v>7.8155266496709331E-3</v>
      </c>
      <c r="J3086" s="2">
        <v>7.8155266496709331E-3</v>
      </c>
      <c r="K3086" s="2">
        <v>7.8155266496709331E-3</v>
      </c>
      <c r="L3086" s="2">
        <v>7.8155266496709331E-3</v>
      </c>
      <c r="M3086" s="2">
        <v>7.8155266496709331E-3</v>
      </c>
      <c r="N3086" t="s">
        <v>256</v>
      </c>
      <c r="O3086" s="30" t="s">
        <v>280</v>
      </c>
      <c r="P3086" t="s">
        <v>678</v>
      </c>
      <c r="Q3086" t="s">
        <v>245</v>
      </c>
    </row>
    <row r="3087" spans="1:17" x14ac:dyDescent="0.25">
      <c r="A3087" t="s">
        <v>678</v>
      </c>
      <c r="B3087" s="30" t="s">
        <v>150</v>
      </c>
      <c r="C3087" s="2">
        <v>5.2040668166016416E-3</v>
      </c>
      <c r="D3087" s="2">
        <v>5.2040668166016416E-3</v>
      </c>
      <c r="E3087" s="2">
        <v>5.2040668166016416E-3</v>
      </c>
      <c r="F3087" s="2">
        <v>5.2040668166016416E-3</v>
      </c>
      <c r="G3087" s="2">
        <v>5.2040668166016416E-3</v>
      </c>
      <c r="H3087" s="2">
        <v>5.2040668166016416E-3</v>
      </c>
      <c r="I3087" s="2">
        <v>5.2040668166016416E-3</v>
      </c>
      <c r="J3087" s="2">
        <v>5.2040668166016416E-3</v>
      </c>
      <c r="K3087" s="2">
        <v>5.2040668166016416E-3</v>
      </c>
      <c r="L3087" s="2">
        <v>5.2040668166016416E-3</v>
      </c>
      <c r="M3087" s="2">
        <v>5.2040668166016416E-3</v>
      </c>
      <c r="N3087" t="s">
        <v>256</v>
      </c>
      <c r="O3087" s="30" t="s">
        <v>679</v>
      </c>
      <c r="P3087" t="s">
        <v>678</v>
      </c>
      <c r="Q3087" t="s">
        <v>245</v>
      </c>
    </row>
    <row r="3088" spans="1:17" x14ac:dyDescent="0.25">
      <c r="A3088" t="s">
        <v>678</v>
      </c>
      <c r="B3088" s="30" t="s">
        <v>676</v>
      </c>
      <c r="C3088" s="2">
        <v>1.4056702607321821E-4</v>
      </c>
      <c r="D3088" s="2">
        <v>1.4056702607321821E-4</v>
      </c>
      <c r="E3088" s="2">
        <v>1.4056702607321821E-4</v>
      </c>
      <c r="F3088" s="2">
        <v>1.4056702607321821E-4</v>
      </c>
      <c r="G3088" s="2">
        <v>1.4056702607321821E-4</v>
      </c>
      <c r="H3088" s="2">
        <v>1.4056702607321821E-4</v>
      </c>
      <c r="I3088" s="2">
        <v>1.4056702607321821E-4</v>
      </c>
      <c r="J3088" s="2">
        <v>1.4056702607321821E-4</v>
      </c>
      <c r="K3088" s="2">
        <v>1.4056702607321821E-4</v>
      </c>
      <c r="L3088" s="2">
        <v>1.4056702607321821E-4</v>
      </c>
      <c r="M3088" s="2">
        <v>1.4056702607321821E-4</v>
      </c>
      <c r="N3088" t="s">
        <v>256</v>
      </c>
      <c r="O3088" s="30" t="s">
        <v>679</v>
      </c>
      <c r="P3088" t="s">
        <v>678</v>
      </c>
      <c r="Q3088" t="s">
        <v>245</v>
      </c>
    </row>
    <row r="3089" spans="1:17" x14ac:dyDescent="0.25">
      <c r="A3089" t="s">
        <v>678</v>
      </c>
      <c r="B3089" s="30" t="s">
        <v>113</v>
      </c>
      <c r="C3089" s="2">
        <v>8.4593236290862722E-3</v>
      </c>
      <c r="D3089" s="2">
        <v>8.4593236290862722E-3</v>
      </c>
      <c r="E3089" s="2">
        <v>8.4593236290862722E-3</v>
      </c>
      <c r="F3089" s="2">
        <v>8.4593236290862722E-3</v>
      </c>
      <c r="G3089" s="2">
        <v>8.4593236290862722E-3</v>
      </c>
      <c r="H3089" s="2">
        <v>8.4593236290862722E-3</v>
      </c>
      <c r="I3089" s="2">
        <v>8.4593236290862722E-3</v>
      </c>
      <c r="J3089" s="2">
        <v>8.4593236290862722E-3</v>
      </c>
      <c r="K3089" s="2">
        <v>8.4593236290862722E-3</v>
      </c>
      <c r="L3089" s="2">
        <v>8.4593236290862722E-3</v>
      </c>
      <c r="M3089" s="2">
        <v>8.4593236290862722E-3</v>
      </c>
      <c r="N3089" t="s">
        <v>256</v>
      </c>
      <c r="O3089" s="30" t="s">
        <v>280</v>
      </c>
      <c r="P3089" t="s">
        <v>678</v>
      </c>
      <c r="Q3089" t="s">
        <v>245</v>
      </c>
    </row>
    <row r="3090" spans="1:17" x14ac:dyDescent="0.25">
      <c r="A3090" t="s">
        <v>678</v>
      </c>
      <c r="B3090" s="30" t="s">
        <v>113</v>
      </c>
      <c r="C3090" s="2">
        <v>0.11523684797482429</v>
      </c>
      <c r="D3090" s="2">
        <v>0.11523684797482429</v>
      </c>
      <c r="E3090" s="2">
        <v>0.11523684797482429</v>
      </c>
      <c r="F3090" s="2">
        <v>0.11523684797482429</v>
      </c>
      <c r="G3090" s="2">
        <v>0.11523684797482429</v>
      </c>
      <c r="H3090" s="2">
        <v>0.11523684797482429</v>
      </c>
      <c r="I3090" s="2">
        <v>0.11523684797482429</v>
      </c>
      <c r="J3090" s="2">
        <v>0.11523684797482429</v>
      </c>
      <c r="K3090" s="2">
        <v>0.11523684797482429</v>
      </c>
      <c r="L3090" s="2">
        <v>0.11523684797482429</v>
      </c>
      <c r="M3090" s="2">
        <v>0.11523684797482429</v>
      </c>
      <c r="N3090" t="s">
        <v>256</v>
      </c>
      <c r="O3090" s="30" t="s">
        <v>679</v>
      </c>
      <c r="P3090" t="s">
        <v>678</v>
      </c>
      <c r="Q3090" t="s">
        <v>245</v>
      </c>
    </row>
    <row r="3091" spans="1:17" x14ac:dyDescent="0.25">
      <c r="A3091" t="s">
        <v>678</v>
      </c>
      <c r="B3091" s="30" t="s">
        <v>124</v>
      </c>
      <c r="C3091" s="2">
        <v>2.8113405214643642E-4</v>
      </c>
      <c r="D3091" s="2">
        <v>2.8113405214643642E-4</v>
      </c>
      <c r="E3091" s="2">
        <v>2.8113405214643642E-4</v>
      </c>
      <c r="F3091" s="2">
        <v>2.8113405214643642E-4</v>
      </c>
      <c r="G3091" s="2">
        <v>2.8113405214643642E-4</v>
      </c>
      <c r="H3091" s="2">
        <v>2.8113405214643642E-4</v>
      </c>
      <c r="I3091" s="2">
        <v>2.8113405214643642E-4</v>
      </c>
      <c r="J3091" s="2">
        <v>2.8113405214643642E-4</v>
      </c>
      <c r="K3091" s="2">
        <v>2.8113405214643642E-4</v>
      </c>
      <c r="L3091" s="2">
        <v>2.8113405214643642E-4</v>
      </c>
      <c r="M3091" s="2">
        <v>2.8113405214643642E-4</v>
      </c>
      <c r="N3091" t="s">
        <v>256</v>
      </c>
      <c r="O3091" s="30" t="s">
        <v>280</v>
      </c>
      <c r="P3091" t="s">
        <v>678</v>
      </c>
      <c r="Q3091" t="s">
        <v>245</v>
      </c>
    </row>
    <row r="3092" spans="1:17" x14ac:dyDescent="0.25">
      <c r="A3092" t="s">
        <v>678</v>
      </c>
      <c r="B3092" s="30" t="s">
        <v>85</v>
      </c>
      <c r="C3092" s="2">
        <v>4.1045571613379716E-3</v>
      </c>
      <c r="D3092" s="2">
        <v>4.1045571613379716E-3</v>
      </c>
      <c r="E3092" s="2">
        <v>4.1045571613379716E-3</v>
      </c>
      <c r="F3092" s="2">
        <v>4.1045571613379716E-3</v>
      </c>
      <c r="G3092" s="2">
        <v>4.1045571613379716E-3</v>
      </c>
      <c r="H3092" s="2">
        <v>4.1045571613379716E-3</v>
      </c>
      <c r="I3092" s="2">
        <v>4.1045571613379716E-3</v>
      </c>
      <c r="J3092" s="2">
        <v>4.1045571613379716E-3</v>
      </c>
      <c r="K3092" s="2">
        <v>4.1045571613379716E-3</v>
      </c>
      <c r="L3092" s="2">
        <v>4.1045571613379716E-3</v>
      </c>
      <c r="M3092" s="2">
        <v>4.1045571613379716E-3</v>
      </c>
      <c r="N3092" t="s">
        <v>256</v>
      </c>
      <c r="O3092" s="30" t="s">
        <v>280</v>
      </c>
      <c r="P3092" t="s">
        <v>678</v>
      </c>
      <c r="Q3092" t="s">
        <v>245</v>
      </c>
    </row>
    <row r="3093" spans="1:17" x14ac:dyDescent="0.25">
      <c r="A3093" t="s">
        <v>678</v>
      </c>
      <c r="B3093" s="30" t="s">
        <v>85</v>
      </c>
      <c r="C3093" s="2">
        <v>3.3595519231499151E-3</v>
      </c>
      <c r="D3093" s="2">
        <v>3.3595519231499151E-3</v>
      </c>
      <c r="E3093" s="2">
        <v>3.3595519231499151E-3</v>
      </c>
      <c r="F3093" s="2">
        <v>3.3595519231499151E-3</v>
      </c>
      <c r="G3093" s="2">
        <v>3.3595519231499151E-3</v>
      </c>
      <c r="H3093" s="2">
        <v>3.3595519231499151E-3</v>
      </c>
      <c r="I3093" s="2">
        <v>3.3595519231499151E-3</v>
      </c>
      <c r="J3093" s="2">
        <v>3.3595519231499151E-3</v>
      </c>
      <c r="K3093" s="2">
        <v>3.3595519231499151E-3</v>
      </c>
      <c r="L3093" s="2">
        <v>3.3595519231499151E-3</v>
      </c>
      <c r="M3093" s="2">
        <v>3.3595519231499151E-3</v>
      </c>
      <c r="N3093" t="s">
        <v>435</v>
      </c>
      <c r="O3093" s="30" t="s">
        <v>679</v>
      </c>
      <c r="P3093" t="s">
        <v>678</v>
      </c>
      <c r="Q3093" t="s">
        <v>245</v>
      </c>
    </row>
    <row r="3094" spans="1:17" x14ac:dyDescent="0.25">
      <c r="A3094" t="s">
        <v>678</v>
      </c>
      <c r="B3094" s="30" t="s">
        <v>145</v>
      </c>
      <c r="C3094" s="2">
        <v>2.0074528805904452E-2</v>
      </c>
      <c r="D3094" s="2">
        <v>2.0074528805904452E-2</v>
      </c>
      <c r="E3094" s="2">
        <v>2.0074528805904452E-2</v>
      </c>
      <c r="F3094" s="2">
        <v>2.0074528805904452E-2</v>
      </c>
      <c r="G3094" s="2">
        <v>2.0074528805904452E-2</v>
      </c>
      <c r="H3094" s="2">
        <v>2.0074528805904452E-2</v>
      </c>
      <c r="I3094" s="2">
        <v>2.0074528805904452E-2</v>
      </c>
      <c r="J3094" s="2">
        <v>2.0074528805904452E-2</v>
      </c>
      <c r="K3094" s="2">
        <v>2.0074528805904452E-2</v>
      </c>
      <c r="L3094" s="2">
        <v>2.0074528805904452E-2</v>
      </c>
      <c r="M3094" s="2">
        <v>2.0074528805904452E-2</v>
      </c>
      <c r="N3094" t="s">
        <v>256</v>
      </c>
      <c r="O3094" s="30" t="s">
        <v>280</v>
      </c>
      <c r="P3094" t="s">
        <v>678</v>
      </c>
      <c r="Q3094" t="s">
        <v>245</v>
      </c>
    </row>
    <row r="3095" spans="1:17" x14ac:dyDescent="0.25">
      <c r="A3095" t="s">
        <v>678</v>
      </c>
      <c r="B3095" s="30" t="s">
        <v>87</v>
      </c>
      <c r="C3095" s="2">
        <v>9.8340691440823458E-5</v>
      </c>
      <c r="D3095" s="2">
        <v>9.8340691440823458E-5</v>
      </c>
      <c r="E3095" s="2">
        <v>9.8340691440823458E-5</v>
      </c>
      <c r="F3095" s="2">
        <v>9.8340691440823458E-5</v>
      </c>
      <c r="G3095" s="2">
        <v>9.8340691440823458E-5</v>
      </c>
      <c r="H3095" s="2">
        <v>9.8340691440823458E-5</v>
      </c>
      <c r="I3095" s="2">
        <v>9.8340691440823458E-5</v>
      </c>
      <c r="J3095" s="2">
        <v>9.8340691440823458E-5</v>
      </c>
      <c r="K3095" s="2">
        <v>9.8340691440823458E-5</v>
      </c>
      <c r="L3095" s="2">
        <v>9.8340691440823458E-5</v>
      </c>
      <c r="M3095" s="2">
        <v>9.8340691440823458E-5</v>
      </c>
      <c r="N3095" t="s">
        <v>517</v>
      </c>
      <c r="O3095" s="30" t="s">
        <v>679</v>
      </c>
      <c r="P3095" t="s">
        <v>678</v>
      </c>
      <c r="Q3095" t="s">
        <v>245</v>
      </c>
    </row>
    <row r="3096" spans="1:17" x14ac:dyDescent="0.25">
      <c r="A3096" t="s">
        <v>678</v>
      </c>
      <c r="B3096" s="30" t="s">
        <v>167</v>
      </c>
      <c r="C3096" s="2">
        <v>7.0283513036609104E-5</v>
      </c>
      <c r="D3096" s="2">
        <v>7.0283513036609104E-5</v>
      </c>
      <c r="E3096" s="2">
        <v>7.0283513036609104E-5</v>
      </c>
      <c r="F3096" s="2">
        <v>7.0283513036609104E-5</v>
      </c>
      <c r="G3096" s="2">
        <v>7.0283513036609104E-5</v>
      </c>
      <c r="H3096" s="2">
        <v>7.0283513036609104E-5</v>
      </c>
      <c r="I3096" s="2">
        <v>7.0283513036609104E-5</v>
      </c>
      <c r="J3096" s="2">
        <v>7.0283513036609104E-5</v>
      </c>
      <c r="K3096" s="2">
        <v>7.0283513036609104E-5</v>
      </c>
      <c r="L3096" s="2">
        <v>7.0283513036609104E-5</v>
      </c>
      <c r="M3096" s="2">
        <v>7.0283513036609104E-5</v>
      </c>
      <c r="N3096" t="s">
        <v>256</v>
      </c>
      <c r="O3096" s="33" t="s">
        <v>679</v>
      </c>
      <c r="P3096" t="s">
        <v>678</v>
      </c>
      <c r="Q3096" t="s">
        <v>245</v>
      </c>
    </row>
    <row r="3097" spans="1:17" x14ac:dyDescent="0.25">
      <c r="A3097" t="s">
        <v>678</v>
      </c>
      <c r="B3097" s="30" t="s">
        <v>114</v>
      </c>
      <c r="C3097" s="2">
        <v>2.7129436032131116E-3</v>
      </c>
      <c r="D3097" s="2">
        <v>2.7129436032131116E-3</v>
      </c>
      <c r="E3097" s="2">
        <v>2.7129436032131116E-3</v>
      </c>
      <c r="F3097" s="2">
        <v>2.7129436032131116E-3</v>
      </c>
      <c r="G3097" s="2">
        <v>2.7129436032131116E-3</v>
      </c>
      <c r="H3097" s="2">
        <v>2.7129436032131116E-3</v>
      </c>
      <c r="I3097" s="2">
        <v>2.7129436032131116E-3</v>
      </c>
      <c r="J3097" s="2">
        <v>2.7129436032131116E-3</v>
      </c>
      <c r="K3097" s="2">
        <v>2.7129436032131116E-3</v>
      </c>
      <c r="L3097" s="2">
        <v>2.7129436032131116E-3</v>
      </c>
      <c r="M3097" s="2">
        <v>2.7129436032131116E-3</v>
      </c>
      <c r="N3097" t="s">
        <v>256</v>
      </c>
      <c r="O3097" s="30" t="s">
        <v>679</v>
      </c>
      <c r="P3097" t="s">
        <v>678</v>
      </c>
      <c r="Q3097" t="s">
        <v>245</v>
      </c>
    </row>
    <row r="3098" spans="1:17" x14ac:dyDescent="0.25">
      <c r="A3098" t="s">
        <v>678</v>
      </c>
      <c r="B3098" s="30" t="s">
        <v>126</v>
      </c>
      <c r="C3098" s="2">
        <v>1.6024640972346876E-3</v>
      </c>
      <c r="D3098" s="2">
        <v>1.6024640972346876E-3</v>
      </c>
      <c r="E3098" s="2">
        <v>1.6024640972346876E-3</v>
      </c>
      <c r="F3098" s="2">
        <v>1.6024640972346876E-3</v>
      </c>
      <c r="G3098" s="2">
        <v>1.6024640972346876E-3</v>
      </c>
      <c r="H3098" s="2">
        <v>1.6024640972346876E-3</v>
      </c>
      <c r="I3098" s="2">
        <v>1.6024640972346876E-3</v>
      </c>
      <c r="J3098" s="2">
        <v>1.6024640972346876E-3</v>
      </c>
      <c r="K3098" s="2">
        <v>1.6024640972346876E-3</v>
      </c>
      <c r="L3098" s="2">
        <v>1.6024640972346876E-3</v>
      </c>
      <c r="M3098" s="2">
        <v>1.6024640972346876E-3</v>
      </c>
      <c r="N3098" t="s">
        <v>256</v>
      </c>
      <c r="O3098" s="33" t="s">
        <v>679</v>
      </c>
      <c r="P3098" t="s">
        <v>678</v>
      </c>
      <c r="Q3098" t="s">
        <v>245</v>
      </c>
    </row>
    <row r="3099" spans="1:17" x14ac:dyDescent="0.25">
      <c r="A3099" t="s">
        <v>678</v>
      </c>
      <c r="B3099" s="30" t="s">
        <v>86</v>
      </c>
      <c r="C3099" s="2">
        <v>3.4038911641936835E-2</v>
      </c>
      <c r="D3099" s="2">
        <v>3.4038911641936835E-2</v>
      </c>
      <c r="E3099" s="2">
        <v>3.4038911641936835E-2</v>
      </c>
      <c r="F3099" s="2">
        <v>3.4038911641936835E-2</v>
      </c>
      <c r="G3099" s="2">
        <v>3.4038911641936835E-2</v>
      </c>
      <c r="H3099" s="2">
        <v>3.4038911641936835E-2</v>
      </c>
      <c r="I3099" s="2">
        <v>3.4038911641936835E-2</v>
      </c>
      <c r="J3099" s="2">
        <v>3.4038911641936835E-2</v>
      </c>
      <c r="K3099" s="2">
        <v>3.4038911641936835E-2</v>
      </c>
      <c r="L3099" s="2">
        <v>3.4038911641936835E-2</v>
      </c>
      <c r="M3099" s="2">
        <v>3.4038911641936835E-2</v>
      </c>
      <c r="N3099" t="s">
        <v>256</v>
      </c>
      <c r="O3099" t="s">
        <v>280</v>
      </c>
      <c r="P3099" t="s">
        <v>678</v>
      </c>
      <c r="Q3099" t="s">
        <v>245</v>
      </c>
    </row>
    <row r="3100" spans="1:17" ht="15.75" x14ac:dyDescent="0.25">
      <c r="A3100" t="s">
        <v>678</v>
      </c>
      <c r="B3100" s="30" t="s">
        <v>86</v>
      </c>
      <c r="C3100" s="2">
        <v>0.12887827157692305</v>
      </c>
      <c r="D3100" s="2">
        <v>0.12887827157692305</v>
      </c>
      <c r="E3100" s="2">
        <v>0.12887827157692305</v>
      </c>
      <c r="F3100" s="2">
        <v>0.12887827157692305</v>
      </c>
      <c r="G3100" s="2">
        <v>0.12887827157692305</v>
      </c>
      <c r="H3100" s="2">
        <v>0.12887827157692305</v>
      </c>
      <c r="I3100" s="2">
        <v>0.12887827157692305</v>
      </c>
      <c r="J3100" s="2">
        <v>0.12887827157692305</v>
      </c>
      <c r="K3100" s="2">
        <v>0.12887827157692305</v>
      </c>
      <c r="L3100" s="2">
        <v>0.12887827157692305</v>
      </c>
      <c r="M3100" s="2">
        <v>0.12887827157692305</v>
      </c>
      <c r="N3100" t="s">
        <v>256</v>
      </c>
      <c r="O3100" s="31" t="s">
        <v>679</v>
      </c>
      <c r="P3100" t="s">
        <v>678</v>
      </c>
      <c r="Q3100" t="s">
        <v>245</v>
      </c>
    </row>
    <row r="3101" spans="1:17" x14ac:dyDescent="0.25">
      <c r="A3101" t="s">
        <v>678</v>
      </c>
      <c r="B3101" s="30" t="s">
        <v>97</v>
      </c>
      <c r="C3101" s="2">
        <v>1.6868043128786186E-2</v>
      </c>
      <c r="D3101" s="2">
        <v>1.6868043128786186E-2</v>
      </c>
      <c r="E3101" s="2">
        <v>1.6868043128786186E-2</v>
      </c>
      <c r="F3101" s="2">
        <v>1.6868043128786186E-2</v>
      </c>
      <c r="G3101" s="2">
        <v>1.6868043128786186E-2</v>
      </c>
      <c r="H3101" s="2">
        <v>1.6868043128786186E-2</v>
      </c>
      <c r="I3101" s="2">
        <v>1.6868043128786186E-2</v>
      </c>
      <c r="J3101" s="2">
        <v>1.6868043128786186E-2</v>
      </c>
      <c r="K3101" s="2">
        <v>1.6868043128786186E-2</v>
      </c>
      <c r="L3101" s="2">
        <v>1.6868043128786186E-2</v>
      </c>
      <c r="M3101" s="2">
        <v>1.6868043128786186E-2</v>
      </c>
      <c r="N3101" t="s">
        <v>256</v>
      </c>
      <c r="O3101" s="30" t="s">
        <v>280</v>
      </c>
      <c r="P3101" t="s">
        <v>678</v>
      </c>
      <c r="Q3101" t="s">
        <v>245</v>
      </c>
    </row>
    <row r="3102" spans="1:17" x14ac:dyDescent="0.25">
      <c r="A3102" t="s">
        <v>678</v>
      </c>
      <c r="B3102" s="30" t="s">
        <v>97</v>
      </c>
      <c r="C3102" s="2">
        <v>1.1462403196795548E-2</v>
      </c>
      <c r="D3102" s="2">
        <v>1.1462403196795548E-2</v>
      </c>
      <c r="E3102" s="2">
        <v>1.1462403196795548E-2</v>
      </c>
      <c r="F3102" s="2">
        <v>1.1462403196795548E-2</v>
      </c>
      <c r="G3102" s="2">
        <v>1.1462403196795548E-2</v>
      </c>
      <c r="H3102" s="2">
        <v>1.1462403196795548E-2</v>
      </c>
      <c r="I3102" s="2">
        <v>1.1462403196795548E-2</v>
      </c>
      <c r="J3102" s="2">
        <v>1.1462403196795548E-2</v>
      </c>
      <c r="K3102" s="2">
        <v>1.1462403196795548E-2</v>
      </c>
      <c r="L3102" s="2">
        <v>1.1462403196795548E-2</v>
      </c>
      <c r="M3102" s="2">
        <v>1.1462403196795548E-2</v>
      </c>
      <c r="N3102" t="s">
        <v>308</v>
      </c>
      <c r="O3102" s="30" t="s">
        <v>679</v>
      </c>
      <c r="P3102" t="s">
        <v>678</v>
      </c>
      <c r="Q3102" t="s">
        <v>245</v>
      </c>
    </row>
    <row r="3103" spans="1:17" x14ac:dyDescent="0.25">
      <c r="A3103" t="s">
        <v>678</v>
      </c>
      <c r="B3103" s="30" t="s">
        <v>98</v>
      </c>
      <c r="C3103" s="2">
        <v>2.2490724171714913E-3</v>
      </c>
      <c r="D3103" s="2">
        <v>2.2490724171714913E-3</v>
      </c>
      <c r="E3103" s="2">
        <v>2.2490724171714913E-3</v>
      </c>
      <c r="F3103" s="2">
        <v>2.2490724171714913E-3</v>
      </c>
      <c r="G3103" s="2">
        <v>2.2490724171714913E-3</v>
      </c>
      <c r="H3103" s="2">
        <v>2.2490724171714913E-3</v>
      </c>
      <c r="I3103" s="2">
        <v>2.2490724171714913E-3</v>
      </c>
      <c r="J3103" s="2">
        <v>2.2490724171714913E-3</v>
      </c>
      <c r="K3103" s="2">
        <v>2.2490724171714913E-3</v>
      </c>
      <c r="L3103" s="2">
        <v>2.2490724171714913E-3</v>
      </c>
      <c r="M3103" s="2">
        <v>2.2490724171714913E-3</v>
      </c>
      <c r="N3103" t="s">
        <v>256</v>
      </c>
      <c r="O3103" s="30" t="s">
        <v>280</v>
      </c>
      <c r="P3103" t="s">
        <v>678</v>
      </c>
      <c r="Q3103" t="s">
        <v>245</v>
      </c>
    </row>
    <row r="3104" spans="1:17" x14ac:dyDescent="0.25">
      <c r="A3104" t="s">
        <v>678</v>
      </c>
      <c r="B3104" s="30" t="s">
        <v>98</v>
      </c>
      <c r="C3104" s="2">
        <v>1.6868043128786185E-3</v>
      </c>
      <c r="D3104" s="2">
        <v>1.6868043128786185E-3</v>
      </c>
      <c r="E3104" s="2">
        <v>1.6868043128786185E-3</v>
      </c>
      <c r="F3104" s="2">
        <v>1.6868043128786185E-3</v>
      </c>
      <c r="G3104" s="2">
        <v>1.6868043128786185E-3</v>
      </c>
      <c r="H3104" s="2">
        <v>1.6868043128786185E-3</v>
      </c>
      <c r="I3104" s="2">
        <v>1.6868043128786185E-3</v>
      </c>
      <c r="J3104" s="2">
        <v>1.6868043128786185E-3</v>
      </c>
      <c r="K3104" s="2">
        <v>1.6868043128786185E-3</v>
      </c>
      <c r="L3104" s="2">
        <v>1.6868043128786185E-3</v>
      </c>
      <c r="M3104" s="2">
        <v>1.6868043128786185E-3</v>
      </c>
      <c r="N3104" t="s">
        <v>256</v>
      </c>
      <c r="O3104" s="30" t="s">
        <v>679</v>
      </c>
      <c r="P3104" t="s">
        <v>678</v>
      </c>
      <c r="Q3104" t="s">
        <v>245</v>
      </c>
    </row>
    <row r="3105" spans="1:17" x14ac:dyDescent="0.25">
      <c r="A3105" t="s">
        <v>678</v>
      </c>
      <c r="B3105" s="30" t="s">
        <v>234</v>
      </c>
      <c r="C3105" s="2">
        <v>8.8574094469256265E-2</v>
      </c>
      <c r="D3105" s="2">
        <v>8.8574094469256265E-2</v>
      </c>
      <c r="E3105" s="2">
        <v>8.8574094469256265E-2</v>
      </c>
      <c r="F3105" s="2">
        <v>8.8574094469256265E-2</v>
      </c>
      <c r="G3105" s="2">
        <v>8.8574094469256265E-2</v>
      </c>
      <c r="H3105" s="2">
        <v>8.8574094469256265E-2</v>
      </c>
      <c r="I3105" s="2">
        <v>8.8574094469256265E-2</v>
      </c>
      <c r="J3105" s="2">
        <v>8.8574094469256265E-2</v>
      </c>
      <c r="K3105" s="2">
        <v>8.8574094469256265E-2</v>
      </c>
      <c r="L3105" s="2">
        <v>8.8574094469256265E-2</v>
      </c>
      <c r="M3105" s="2">
        <v>8.8574094469256265E-2</v>
      </c>
      <c r="N3105" t="s">
        <v>256</v>
      </c>
      <c r="O3105" s="30" t="s">
        <v>679</v>
      </c>
      <c r="P3105" t="s">
        <v>678</v>
      </c>
      <c r="Q3105" t="s">
        <v>245</v>
      </c>
    </row>
    <row r="3106" spans="1:17" x14ac:dyDescent="0.25">
      <c r="A3106" t="s">
        <v>678</v>
      </c>
      <c r="B3106" s="30" t="s">
        <v>222</v>
      </c>
      <c r="C3106" s="2">
        <v>8.6239276166180103E-4</v>
      </c>
      <c r="D3106" s="2">
        <v>8.6239276166180103E-4</v>
      </c>
      <c r="E3106" s="2">
        <v>8.6239276166180103E-4</v>
      </c>
      <c r="F3106" s="2">
        <v>8.6239276166180103E-4</v>
      </c>
      <c r="G3106" s="2">
        <v>8.6239276166180103E-4</v>
      </c>
      <c r="H3106" s="2">
        <v>8.6239276166180103E-4</v>
      </c>
      <c r="I3106" s="2">
        <v>8.6239276166180103E-4</v>
      </c>
      <c r="J3106" s="2">
        <v>8.6239276166180103E-4</v>
      </c>
      <c r="K3106" s="2">
        <v>8.6239276166180103E-4</v>
      </c>
      <c r="L3106" s="2">
        <v>8.6239276166180103E-4</v>
      </c>
      <c r="M3106" s="2">
        <v>8.6239276166180103E-4</v>
      </c>
      <c r="N3106" t="s">
        <v>256</v>
      </c>
      <c r="O3106" s="33" t="s">
        <v>679</v>
      </c>
      <c r="P3106" t="s">
        <v>678</v>
      </c>
      <c r="Q3106" t="s">
        <v>245</v>
      </c>
    </row>
    <row r="3107" spans="1:17" x14ac:dyDescent="0.25">
      <c r="A3107" t="s">
        <v>678</v>
      </c>
      <c r="B3107" s="30" t="s">
        <v>119</v>
      </c>
      <c r="C3107" s="2">
        <v>2.3132187738497439E-2</v>
      </c>
      <c r="D3107" s="2">
        <v>2.3132187738497439E-2</v>
      </c>
      <c r="E3107" s="2">
        <v>2.3132187738497439E-2</v>
      </c>
      <c r="F3107" s="2">
        <v>2.3132187738497439E-2</v>
      </c>
      <c r="G3107" s="2">
        <v>2.3132187738497439E-2</v>
      </c>
      <c r="H3107" s="2">
        <v>2.3132187738497439E-2</v>
      </c>
      <c r="I3107" s="2">
        <v>2.3132187738497439E-2</v>
      </c>
      <c r="J3107" s="2">
        <v>2.3132187738497439E-2</v>
      </c>
      <c r="K3107" s="2">
        <v>2.3132187738497439E-2</v>
      </c>
      <c r="L3107" s="2">
        <v>2.3132187738497439E-2</v>
      </c>
      <c r="M3107" s="2">
        <v>2.3132187738497439E-2</v>
      </c>
      <c r="N3107" t="s">
        <v>256</v>
      </c>
      <c r="O3107" s="30" t="s">
        <v>280</v>
      </c>
      <c r="P3107" t="s">
        <v>678</v>
      </c>
      <c r="Q3107" t="s">
        <v>245</v>
      </c>
    </row>
    <row r="3108" spans="1:17" x14ac:dyDescent="0.25">
      <c r="A3108" t="s">
        <v>678</v>
      </c>
      <c r="B3108" s="30" t="s">
        <v>119</v>
      </c>
      <c r="C3108" s="2">
        <v>2.2342549658190599E-2</v>
      </c>
      <c r="D3108" s="2">
        <v>2.2342549658190613E-2</v>
      </c>
      <c r="E3108" s="2">
        <v>2.2342549658190613E-2</v>
      </c>
      <c r="F3108" s="2">
        <v>2.2342549658190613E-2</v>
      </c>
      <c r="G3108" s="2">
        <v>2.2342549658190613E-2</v>
      </c>
      <c r="H3108" s="2">
        <v>2.2342549658190613E-2</v>
      </c>
      <c r="I3108" s="2">
        <v>2.2342549658190613E-2</v>
      </c>
      <c r="J3108" s="2">
        <v>2.2342549658190613E-2</v>
      </c>
      <c r="K3108" s="2">
        <v>2.2342549658190613E-2</v>
      </c>
      <c r="L3108" s="2">
        <v>2.2342549658190613E-2</v>
      </c>
      <c r="M3108" s="2">
        <v>2.2342549658190613E-2</v>
      </c>
      <c r="N3108" t="s">
        <v>256</v>
      </c>
      <c r="O3108" s="33" t="s">
        <v>679</v>
      </c>
      <c r="P3108" t="s">
        <v>678</v>
      </c>
      <c r="Q3108" t="s">
        <v>245</v>
      </c>
    </row>
    <row r="3109" spans="1:17" x14ac:dyDescent="0.25">
      <c r="A3109" t="s">
        <v>678</v>
      </c>
      <c r="B3109" s="30" t="s">
        <v>223</v>
      </c>
      <c r="C3109" s="2">
        <v>6.8877842775876925E-3</v>
      </c>
      <c r="D3109" s="2">
        <v>6.8877842775876925E-3</v>
      </c>
      <c r="E3109" s="2">
        <v>6.8877842775876925E-3</v>
      </c>
      <c r="F3109" s="2">
        <v>6.8877842775876925E-3</v>
      </c>
      <c r="G3109" s="2">
        <v>6.8877842775876925E-3</v>
      </c>
      <c r="H3109" s="2">
        <v>6.8877842775876925E-3</v>
      </c>
      <c r="I3109" s="2">
        <v>6.8877842775876925E-3</v>
      </c>
      <c r="J3109" s="2">
        <v>6.8877842775876925E-3</v>
      </c>
      <c r="K3109" s="2">
        <v>6.8877842775876925E-3</v>
      </c>
      <c r="L3109" s="2">
        <v>6.8877842775876925E-3</v>
      </c>
      <c r="M3109" s="2">
        <v>6.8877842775876925E-3</v>
      </c>
      <c r="N3109" t="s">
        <v>256</v>
      </c>
      <c r="O3109" s="30" t="s">
        <v>679</v>
      </c>
      <c r="P3109" t="s">
        <v>678</v>
      </c>
      <c r="Q3109" t="s">
        <v>245</v>
      </c>
    </row>
    <row r="3110" spans="1:17" x14ac:dyDescent="0.25">
      <c r="A3110" t="s">
        <v>678</v>
      </c>
      <c r="B3110" s="30" t="s">
        <v>102</v>
      </c>
      <c r="C3110" s="2">
        <v>8.4902483748223803E-3</v>
      </c>
      <c r="D3110" s="2">
        <v>8.4902483748223803E-3</v>
      </c>
      <c r="E3110" s="2">
        <v>8.4902483748223803E-3</v>
      </c>
      <c r="F3110" s="2">
        <v>8.4902483748223803E-3</v>
      </c>
      <c r="G3110" s="2">
        <v>8.4902483748223803E-3</v>
      </c>
      <c r="H3110" s="2">
        <v>8.4902483748223803E-3</v>
      </c>
      <c r="I3110" s="2">
        <v>8.4902483748223803E-3</v>
      </c>
      <c r="J3110" s="2">
        <v>8.4902483748223803E-3</v>
      </c>
      <c r="K3110" s="2">
        <v>8.4902483748223803E-3</v>
      </c>
      <c r="L3110" s="2">
        <v>8.4902483748223803E-3</v>
      </c>
      <c r="M3110" s="2">
        <v>8.4902483748223803E-3</v>
      </c>
      <c r="N3110" t="s">
        <v>256</v>
      </c>
      <c r="O3110" s="33" t="s">
        <v>280</v>
      </c>
      <c r="P3110" t="s">
        <v>678</v>
      </c>
      <c r="Q3110" t="s">
        <v>245</v>
      </c>
    </row>
    <row r="3111" spans="1:17" x14ac:dyDescent="0.25">
      <c r="A3111" t="s">
        <v>678</v>
      </c>
      <c r="B3111" s="30" t="s">
        <v>102</v>
      </c>
      <c r="C3111" s="2">
        <v>3.701495270775626E-2</v>
      </c>
      <c r="D3111" s="2">
        <v>3.701495270775626E-2</v>
      </c>
      <c r="E3111" s="2">
        <v>3.701495270775626E-2</v>
      </c>
      <c r="F3111" s="2">
        <v>3.701495270775626E-2</v>
      </c>
      <c r="G3111" s="2">
        <v>3.701495270775626E-2</v>
      </c>
      <c r="H3111" s="2">
        <v>3.701495270775626E-2</v>
      </c>
      <c r="I3111" s="2">
        <v>3.701495270775626E-2</v>
      </c>
      <c r="J3111" s="2">
        <v>3.701495270775626E-2</v>
      </c>
      <c r="K3111" s="2">
        <v>3.701495270775626E-2</v>
      </c>
      <c r="L3111" s="2">
        <v>3.701495270775626E-2</v>
      </c>
      <c r="M3111" s="2">
        <v>3.701495270775626E-2</v>
      </c>
      <c r="N3111" t="s">
        <v>256</v>
      </c>
      <c r="O3111" s="30" t="s">
        <v>679</v>
      </c>
      <c r="P3111" t="s">
        <v>678</v>
      </c>
      <c r="Q3111" t="s">
        <v>245</v>
      </c>
    </row>
    <row r="3112" spans="1:17" x14ac:dyDescent="0.25">
      <c r="A3112" t="s">
        <v>678</v>
      </c>
      <c r="B3112" s="30" t="s">
        <v>148</v>
      </c>
      <c r="C3112" s="2">
        <v>1.5153125410692922E-2</v>
      </c>
      <c r="D3112" s="2">
        <v>1.5153125410692922E-2</v>
      </c>
      <c r="E3112" s="2">
        <v>1.5153125410692922E-2</v>
      </c>
      <c r="F3112" s="2">
        <v>1.5153125410692922E-2</v>
      </c>
      <c r="G3112" s="2">
        <v>1.5153125410692922E-2</v>
      </c>
      <c r="H3112" s="2">
        <v>1.5153125410692922E-2</v>
      </c>
      <c r="I3112" s="2">
        <v>1.5153125410692922E-2</v>
      </c>
      <c r="J3112" s="2">
        <v>1.5153125410692922E-2</v>
      </c>
      <c r="K3112" s="2">
        <v>1.5153125410692922E-2</v>
      </c>
      <c r="L3112" s="2">
        <v>1.5153125410692922E-2</v>
      </c>
      <c r="M3112" s="2">
        <v>1.5153125410692922E-2</v>
      </c>
      <c r="N3112" t="s">
        <v>256</v>
      </c>
      <c r="O3112" s="30" t="s">
        <v>280</v>
      </c>
      <c r="P3112" t="s">
        <v>678</v>
      </c>
      <c r="Q3112" t="s">
        <v>245</v>
      </c>
    </row>
    <row r="3113" spans="1:17" x14ac:dyDescent="0.25">
      <c r="A3113" t="s">
        <v>678</v>
      </c>
      <c r="B3113" s="30" t="s">
        <v>148</v>
      </c>
      <c r="C3113" s="2">
        <v>2.8110593874122177E-2</v>
      </c>
      <c r="D3113" s="2">
        <v>2.8110593874122177E-2</v>
      </c>
      <c r="E3113" s="2">
        <v>2.8110593874122177E-2</v>
      </c>
      <c r="F3113" s="2">
        <v>2.8110593874122177E-2</v>
      </c>
      <c r="G3113" s="2">
        <v>2.8110593874122177E-2</v>
      </c>
      <c r="H3113" s="2">
        <v>2.8110593874122177E-2</v>
      </c>
      <c r="I3113" s="2">
        <v>2.8110593874122177E-2</v>
      </c>
      <c r="J3113" s="2">
        <v>2.8110593874122177E-2</v>
      </c>
      <c r="K3113" s="2">
        <v>2.8110593874122177E-2</v>
      </c>
      <c r="L3113" s="2">
        <v>2.8110593874122177E-2</v>
      </c>
      <c r="M3113" s="2">
        <v>2.8110593874122177E-2</v>
      </c>
      <c r="N3113" t="s">
        <v>256</v>
      </c>
      <c r="O3113" s="30" t="s">
        <v>679</v>
      </c>
      <c r="P3113" t="s">
        <v>678</v>
      </c>
      <c r="Q3113" t="s">
        <v>245</v>
      </c>
    </row>
    <row r="3114" spans="1:17" x14ac:dyDescent="0.25">
      <c r="A3114" t="s">
        <v>678</v>
      </c>
      <c r="B3114" s="30" t="s">
        <v>224</v>
      </c>
      <c r="C3114" s="2">
        <v>1.173734667711372E-2</v>
      </c>
      <c r="D3114" s="2">
        <v>1.173734667711372E-2</v>
      </c>
      <c r="E3114" s="2">
        <v>1.173734667711372E-2</v>
      </c>
      <c r="F3114" s="2">
        <v>1.173734667711372E-2</v>
      </c>
      <c r="G3114" s="2">
        <v>1.173734667711372E-2</v>
      </c>
      <c r="H3114" s="2">
        <v>1.173734667711372E-2</v>
      </c>
      <c r="I3114" s="2">
        <v>1.173734667711372E-2</v>
      </c>
      <c r="J3114" s="2">
        <v>1.173734667711372E-2</v>
      </c>
      <c r="K3114" s="2">
        <v>1.173734667711372E-2</v>
      </c>
      <c r="L3114" s="2">
        <v>1.173734667711372E-2</v>
      </c>
      <c r="M3114" s="2">
        <v>1.173734667711372E-2</v>
      </c>
      <c r="N3114" t="s">
        <v>256</v>
      </c>
      <c r="O3114" s="30" t="s">
        <v>679</v>
      </c>
      <c r="P3114" t="s">
        <v>678</v>
      </c>
      <c r="Q3114" t="s">
        <v>245</v>
      </c>
    </row>
    <row r="3115" spans="1:17" x14ac:dyDescent="0.25">
      <c r="A3115" t="s">
        <v>678</v>
      </c>
      <c r="B3115" s="30" t="s">
        <v>133</v>
      </c>
      <c r="C3115" s="2">
        <v>6.7753306567291179E-4</v>
      </c>
      <c r="D3115" s="2">
        <v>6.7753306567291179E-4</v>
      </c>
      <c r="E3115" s="2">
        <v>6.7753306567291179E-4</v>
      </c>
      <c r="F3115" s="2">
        <v>6.7753306567291179E-4</v>
      </c>
      <c r="G3115" s="2">
        <v>6.7753306567291179E-4</v>
      </c>
      <c r="H3115" s="2">
        <v>6.7753306567291179E-4</v>
      </c>
      <c r="I3115" s="2">
        <v>6.7753306567291179E-4</v>
      </c>
      <c r="J3115" s="2">
        <v>6.7753306567291179E-4</v>
      </c>
      <c r="K3115" s="2">
        <v>6.7753306567291179E-4</v>
      </c>
      <c r="L3115" s="2">
        <v>6.7753306567291179E-4</v>
      </c>
      <c r="M3115" s="2">
        <v>6.7753306567291179E-4</v>
      </c>
      <c r="N3115" t="s">
        <v>256</v>
      </c>
      <c r="O3115" s="30" t="s">
        <v>679</v>
      </c>
      <c r="P3115" t="s">
        <v>678</v>
      </c>
      <c r="Q3115" t="s">
        <v>245</v>
      </c>
    </row>
    <row r="3116" spans="1:17" x14ac:dyDescent="0.25">
      <c r="A3116" t="s">
        <v>678</v>
      </c>
      <c r="B3116" s="30" t="s">
        <v>156</v>
      </c>
      <c r="C3116" s="2">
        <v>2.3755827406373876E-3</v>
      </c>
      <c r="D3116" s="2">
        <v>2.3755827406373876E-3</v>
      </c>
      <c r="E3116" s="2">
        <v>2.3755827406373876E-3</v>
      </c>
      <c r="F3116" s="2">
        <v>2.3755827406373876E-3</v>
      </c>
      <c r="G3116" s="2">
        <v>2.3755827406373876E-3</v>
      </c>
      <c r="H3116" s="2">
        <v>2.3755827406373876E-3</v>
      </c>
      <c r="I3116" s="2">
        <v>2.3755827406373876E-3</v>
      </c>
      <c r="J3116" s="2">
        <v>2.3755827406373876E-3</v>
      </c>
      <c r="K3116" s="2">
        <v>2.3755827406373876E-3</v>
      </c>
      <c r="L3116" s="2">
        <v>2.3755827406373876E-3</v>
      </c>
      <c r="M3116" s="2">
        <v>2.3755827406373876E-3</v>
      </c>
      <c r="N3116" t="s">
        <v>256</v>
      </c>
      <c r="O3116" s="30" t="s">
        <v>280</v>
      </c>
      <c r="P3116" t="s">
        <v>678</v>
      </c>
      <c r="Q3116" t="s">
        <v>245</v>
      </c>
    </row>
    <row r="3117" spans="1:17" x14ac:dyDescent="0.25">
      <c r="A3117" t="s">
        <v>678</v>
      </c>
      <c r="B3117" s="30" t="s">
        <v>156</v>
      </c>
      <c r="C3117" s="2">
        <v>1.5040671789834348E-4</v>
      </c>
      <c r="D3117" s="2">
        <v>1.5040671789834348E-4</v>
      </c>
      <c r="E3117" s="2">
        <v>1.5040671789834348E-4</v>
      </c>
      <c r="F3117" s="2">
        <v>1.5040671789834348E-4</v>
      </c>
      <c r="G3117" s="2">
        <v>1.5040671789834348E-4</v>
      </c>
      <c r="H3117" s="2">
        <v>1.5040671789834348E-4</v>
      </c>
      <c r="I3117" s="2">
        <v>1.5040671789834348E-4</v>
      </c>
      <c r="J3117" s="2">
        <v>1.5040671789834348E-4</v>
      </c>
      <c r="K3117" s="2">
        <v>1.5040671789834348E-4</v>
      </c>
      <c r="L3117" s="2">
        <v>1.5040671789834348E-4</v>
      </c>
      <c r="M3117" s="2">
        <v>1.5040671789834348E-4</v>
      </c>
      <c r="N3117" t="s">
        <v>256</v>
      </c>
      <c r="O3117" s="30" t="s">
        <v>679</v>
      </c>
      <c r="P3117" t="s">
        <v>678</v>
      </c>
      <c r="Q3117" t="s">
        <v>245</v>
      </c>
    </row>
    <row r="3118" spans="1:17" x14ac:dyDescent="0.25">
      <c r="A3118" t="s">
        <v>678</v>
      </c>
      <c r="B3118" s="30" t="s">
        <v>134</v>
      </c>
      <c r="C3118" s="2">
        <v>2.1588283864324851E-2</v>
      </c>
      <c r="D3118" s="2">
        <v>2.1588283864324851E-2</v>
      </c>
      <c r="E3118" s="2">
        <v>2.1588283864324851E-2</v>
      </c>
      <c r="F3118" s="2">
        <v>2.1588283864324851E-2</v>
      </c>
      <c r="G3118" s="2">
        <v>2.1588283864324851E-2</v>
      </c>
      <c r="H3118" s="2">
        <v>2.1588283864324851E-2</v>
      </c>
      <c r="I3118" s="2">
        <v>2.1588283864324851E-2</v>
      </c>
      <c r="J3118" s="2">
        <v>2.1588283864324851E-2</v>
      </c>
      <c r="K3118" s="2">
        <v>2.1588283864324851E-2</v>
      </c>
      <c r="L3118" s="2">
        <v>2.1588283864324851E-2</v>
      </c>
      <c r="M3118" s="2">
        <v>2.1588283864324851E-2</v>
      </c>
      <c r="N3118" t="s">
        <v>256</v>
      </c>
      <c r="O3118" s="30" t="s">
        <v>679</v>
      </c>
      <c r="P3118" t="s">
        <v>678</v>
      </c>
      <c r="Q3118" t="s">
        <v>245</v>
      </c>
    </row>
    <row r="3119" spans="1:17" x14ac:dyDescent="0.25">
      <c r="A3119" t="s">
        <v>678</v>
      </c>
      <c r="B3119" s="30" t="s">
        <v>108</v>
      </c>
      <c r="C3119" s="2">
        <v>5.1166397490651432E-2</v>
      </c>
      <c r="D3119" s="2">
        <v>5.1166397490651432E-2</v>
      </c>
      <c r="E3119" s="2">
        <v>5.1166397490651432E-2</v>
      </c>
      <c r="F3119" s="2">
        <v>5.1166397490651432E-2</v>
      </c>
      <c r="G3119" s="2">
        <v>5.1166397490651432E-2</v>
      </c>
      <c r="H3119" s="2">
        <v>5.1166397490651432E-2</v>
      </c>
      <c r="I3119" s="2">
        <v>5.1166397490651432E-2</v>
      </c>
      <c r="J3119" s="2">
        <v>5.1166397490651432E-2</v>
      </c>
      <c r="K3119" s="2">
        <v>5.1166397490651432E-2</v>
      </c>
      <c r="L3119" s="2">
        <v>5.1166397490651432E-2</v>
      </c>
      <c r="M3119" s="2">
        <v>5.1166397490651432E-2</v>
      </c>
      <c r="N3119" t="s">
        <v>256</v>
      </c>
      <c r="O3119" s="30" t="s">
        <v>679</v>
      </c>
      <c r="P3119" t="s">
        <v>678</v>
      </c>
      <c r="Q3119" t="s">
        <v>245</v>
      </c>
    </row>
    <row r="3120" spans="1:17" x14ac:dyDescent="0.25">
      <c r="A3120" t="s">
        <v>678</v>
      </c>
      <c r="B3120" s="30" t="s">
        <v>227</v>
      </c>
      <c r="C3120" s="2">
        <v>4.2170107821965465E-3</v>
      </c>
      <c r="D3120" s="2">
        <v>4.2170107821965465E-3</v>
      </c>
      <c r="E3120" s="2">
        <v>4.2170107821965465E-3</v>
      </c>
      <c r="F3120" s="2">
        <v>4.2170107821965465E-3</v>
      </c>
      <c r="G3120" s="2">
        <v>4.2170107821965465E-3</v>
      </c>
      <c r="H3120" s="2">
        <v>4.2170107821965465E-3</v>
      </c>
      <c r="I3120" s="2">
        <v>4.2170107821965465E-3</v>
      </c>
      <c r="J3120" s="2">
        <v>4.2170107821965465E-3</v>
      </c>
      <c r="K3120" s="2">
        <v>4.2170107821965465E-3</v>
      </c>
      <c r="L3120" s="2">
        <v>4.2170107821965465E-3</v>
      </c>
      <c r="M3120" s="2">
        <v>4.2170107821965465E-3</v>
      </c>
      <c r="N3120" t="s">
        <v>256</v>
      </c>
      <c r="O3120" s="30" t="s">
        <v>679</v>
      </c>
      <c r="P3120" t="s">
        <v>678</v>
      </c>
      <c r="Q3120" t="s">
        <v>245</v>
      </c>
    </row>
    <row r="3121" spans="1:17" x14ac:dyDescent="0.25">
      <c r="A3121" t="s">
        <v>678</v>
      </c>
      <c r="B3121" s="30" t="s">
        <v>229</v>
      </c>
      <c r="C3121" s="2">
        <v>2.1085053910982733E-5</v>
      </c>
      <c r="D3121" s="2">
        <v>2.1085053910982733E-5</v>
      </c>
      <c r="E3121" s="2">
        <v>2.1085053910982733E-5</v>
      </c>
      <c r="F3121" s="2">
        <v>2.1085053910982733E-5</v>
      </c>
      <c r="G3121" s="2">
        <v>2.1085053910982733E-5</v>
      </c>
      <c r="H3121" s="2">
        <v>2.1085053910982733E-5</v>
      </c>
      <c r="I3121" s="2">
        <v>2.1085053910982733E-5</v>
      </c>
      <c r="J3121" s="2">
        <v>2.1085053910982733E-5</v>
      </c>
      <c r="K3121" s="2">
        <v>2.1085053910982733E-5</v>
      </c>
      <c r="L3121" s="2">
        <v>2.1085053910982733E-5</v>
      </c>
      <c r="M3121" s="2">
        <v>2.1085053910982733E-5</v>
      </c>
      <c r="N3121" t="s">
        <v>256</v>
      </c>
      <c r="O3121" s="30" t="s">
        <v>679</v>
      </c>
      <c r="P3121" t="s">
        <v>678</v>
      </c>
      <c r="Q3121" t="s">
        <v>245</v>
      </c>
    </row>
    <row r="3122" spans="1:17" x14ac:dyDescent="0.25">
      <c r="A3122" t="s">
        <v>678</v>
      </c>
      <c r="B3122" s="30" t="s">
        <v>208</v>
      </c>
      <c r="C3122" s="2">
        <v>5.1091554667525934E-4</v>
      </c>
      <c r="D3122" s="2">
        <v>5.1091554667525934E-4</v>
      </c>
      <c r="E3122" s="2">
        <v>5.1091554667525934E-4</v>
      </c>
      <c r="F3122" s="2">
        <v>5.1091554667525934E-4</v>
      </c>
      <c r="G3122" s="2">
        <v>5.1091554667525934E-4</v>
      </c>
      <c r="H3122" s="2">
        <v>5.1091554667525934E-4</v>
      </c>
      <c r="I3122" s="2">
        <v>5.1091554667525934E-4</v>
      </c>
      <c r="J3122" s="2">
        <v>5.1091554667525934E-4</v>
      </c>
      <c r="K3122" s="2">
        <v>5.1091554667525934E-4</v>
      </c>
      <c r="L3122" s="2">
        <v>5.1091554667525934E-4</v>
      </c>
      <c r="M3122" s="2">
        <v>5.1091554667525934E-4</v>
      </c>
      <c r="N3122" t="s">
        <v>256</v>
      </c>
      <c r="O3122" t="s">
        <v>280</v>
      </c>
      <c r="P3122" t="s">
        <v>678</v>
      </c>
      <c r="Q3122" t="s">
        <v>245</v>
      </c>
    </row>
    <row r="3123" spans="1:17" ht="15.75" x14ac:dyDescent="0.25">
      <c r="A3123" t="s">
        <v>678</v>
      </c>
      <c r="B3123" s="30" t="s">
        <v>208</v>
      </c>
      <c r="C3123" s="2">
        <v>1.9344306090022662E-3</v>
      </c>
      <c r="D3123" s="2">
        <v>1.9344306090022662E-3</v>
      </c>
      <c r="E3123" s="2">
        <v>1.9344306090022662E-3</v>
      </c>
      <c r="F3123" s="2">
        <v>1.9344306090022662E-3</v>
      </c>
      <c r="G3123" s="2">
        <v>1.9344306090022662E-3</v>
      </c>
      <c r="H3123" s="2">
        <v>1.9344306090022662E-3</v>
      </c>
      <c r="I3123" s="2">
        <v>1.9344306090022662E-3</v>
      </c>
      <c r="J3123" s="2">
        <v>1.9344306090022662E-3</v>
      </c>
      <c r="K3123" s="2">
        <v>1.9344306090022662E-3</v>
      </c>
      <c r="L3123" s="2">
        <v>1.9344306090022662E-3</v>
      </c>
      <c r="M3123" s="2">
        <v>1.9344306090022662E-3</v>
      </c>
      <c r="N3123" t="s">
        <v>256</v>
      </c>
      <c r="O3123" s="31" t="s">
        <v>679</v>
      </c>
      <c r="P3123" t="s">
        <v>678</v>
      </c>
      <c r="Q3123" t="s">
        <v>245</v>
      </c>
    </row>
    <row r="3124" spans="1:17" x14ac:dyDescent="0.25">
      <c r="A3124" t="s">
        <v>678</v>
      </c>
      <c r="B3124" s="30" t="s">
        <v>215</v>
      </c>
      <c r="C3124" s="2">
        <v>5.3415469907822922E-5</v>
      </c>
      <c r="D3124" s="2">
        <v>5.3415469907822922E-5</v>
      </c>
      <c r="E3124" s="2">
        <v>5.3415469907822922E-5</v>
      </c>
      <c r="F3124" s="2">
        <v>5.3415469907822922E-5</v>
      </c>
      <c r="G3124" s="2">
        <v>5.3415469907822922E-5</v>
      </c>
      <c r="H3124" s="2">
        <v>5.3415469907822922E-5</v>
      </c>
      <c r="I3124" s="2">
        <v>5.3415469907822922E-5</v>
      </c>
      <c r="J3124" s="2">
        <v>5.3415469907822922E-5</v>
      </c>
      <c r="K3124" s="2">
        <v>5.3415469907822922E-5</v>
      </c>
      <c r="L3124" s="2">
        <v>5.3415469907822922E-5</v>
      </c>
      <c r="M3124" s="2">
        <v>5.3415469907822922E-5</v>
      </c>
      <c r="N3124" t="s">
        <v>256</v>
      </c>
      <c r="O3124" s="30" t="s">
        <v>280</v>
      </c>
      <c r="P3124" t="s">
        <v>678</v>
      </c>
      <c r="Q3124" t="s">
        <v>245</v>
      </c>
    </row>
    <row r="3125" spans="1:17" x14ac:dyDescent="0.25">
      <c r="A3125" t="s">
        <v>678</v>
      </c>
      <c r="B3125" s="30" t="s">
        <v>215</v>
      </c>
      <c r="C3125" s="2">
        <v>2.6460196420996524E-3</v>
      </c>
      <c r="D3125" s="2">
        <v>2.6460196420996524E-3</v>
      </c>
      <c r="E3125" s="2">
        <v>2.6460196420996524E-3</v>
      </c>
      <c r="F3125" s="2">
        <v>2.6460196420996524E-3</v>
      </c>
      <c r="G3125" s="2">
        <v>2.6460196420996524E-3</v>
      </c>
      <c r="H3125" s="2">
        <v>2.6460196420996524E-3</v>
      </c>
      <c r="I3125" s="2">
        <v>2.6460196420996524E-3</v>
      </c>
      <c r="J3125" s="2">
        <v>2.6460196420996524E-3</v>
      </c>
      <c r="K3125" s="2">
        <v>2.6460196420996524E-3</v>
      </c>
      <c r="L3125" s="2">
        <v>2.6460196420996524E-3</v>
      </c>
      <c r="M3125" s="2">
        <v>2.6460196420996524E-3</v>
      </c>
      <c r="N3125" t="s">
        <v>256</v>
      </c>
      <c r="O3125" s="30" t="s">
        <v>679</v>
      </c>
      <c r="P3125" t="s">
        <v>678</v>
      </c>
      <c r="Q3125" t="s">
        <v>245</v>
      </c>
    </row>
    <row r="3126" spans="1:17" x14ac:dyDescent="0.25">
      <c r="A3126" t="s">
        <v>678</v>
      </c>
      <c r="B3126" s="30" t="s">
        <v>677</v>
      </c>
      <c r="C3126" s="2">
        <v>4.9339026151699588E-3</v>
      </c>
      <c r="D3126" s="2">
        <v>4.9339026151699588E-3</v>
      </c>
      <c r="E3126" s="2">
        <v>4.9339026151699588E-3</v>
      </c>
      <c r="F3126" s="2">
        <v>4.9339026151699588E-3</v>
      </c>
      <c r="G3126" s="2">
        <v>4.9339026151699588E-3</v>
      </c>
      <c r="H3126" s="2">
        <v>4.9339026151699588E-3</v>
      </c>
      <c r="I3126" s="2">
        <v>4.9339026151699588E-3</v>
      </c>
      <c r="J3126" s="2">
        <v>4.9339026151699588E-3</v>
      </c>
      <c r="K3126" s="2">
        <v>4.9339026151699588E-3</v>
      </c>
      <c r="L3126" s="2">
        <v>4.9339026151699588E-3</v>
      </c>
      <c r="M3126" s="2">
        <v>4.9339026151699588E-3</v>
      </c>
      <c r="N3126" t="s">
        <v>256</v>
      </c>
      <c r="O3126" s="30" t="s">
        <v>679</v>
      </c>
      <c r="P3126" t="s">
        <v>678</v>
      </c>
      <c r="Q3126" t="s">
        <v>245</v>
      </c>
    </row>
    <row r="3127" spans="1:17" x14ac:dyDescent="0.25">
      <c r="A3127" t="s">
        <v>678</v>
      </c>
      <c r="B3127" s="30" t="s">
        <v>123</v>
      </c>
      <c r="C3127" s="2">
        <v>3.3966616180332448E-2</v>
      </c>
      <c r="D3127" s="2">
        <v>3.3966616180332448E-2</v>
      </c>
      <c r="E3127" s="2">
        <v>3.3966616180332448E-2</v>
      </c>
      <c r="F3127" s="2">
        <v>3.3966616180332448E-2</v>
      </c>
      <c r="G3127" s="2">
        <v>3.3966616180332448E-2</v>
      </c>
      <c r="H3127" s="2">
        <v>3.3966616180332448E-2</v>
      </c>
      <c r="I3127" s="2">
        <v>3.3966616180332448E-2</v>
      </c>
      <c r="J3127" s="2">
        <v>3.3966616180332448E-2</v>
      </c>
      <c r="K3127" s="2">
        <v>3.3966616180332448E-2</v>
      </c>
      <c r="L3127" s="2">
        <v>3.3966616180332448E-2</v>
      </c>
      <c r="M3127" s="2">
        <v>3.3966616180332448E-2</v>
      </c>
      <c r="N3127" t="s">
        <v>256</v>
      </c>
      <c r="O3127" s="30" t="s">
        <v>679</v>
      </c>
      <c r="P3127" t="s">
        <v>678</v>
      </c>
      <c r="Q3127" t="s">
        <v>245</v>
      </c>
    </row>
    <row r="3128" spans="1:17" x14ac:dyDescent="0.25">
      <c r="A3128" t="s">
        <v>678</v>
      </c>
      <c r="B3128" s="30" t="s">
        <v>180</v>
      </c>
      <c r="C3128" s="2">
        <v>1.8414280415591584E-3</v>
      </c>
      <c r="D3128" s="2">
        <v>1.8414280415591584E-3</v>
      </c>
      <c r="E3128" s="2">
        <v>1.8414280415591584E-3</v>
      </c>
      <c r="F3128" s="2">
        <v>1.8414280415591584E-3</v>
      </c>
      <c r="G3128" s="2">
        <v>1.8414280415591584E-3</v>
      </c>
      <c r="H3128" s="2">
        <v>1.8414280415591584E-3</v>
      </c>
      <c r="I3128" s="2">
        <v>1.8414280415591584E-3</v>
      </c>
      <c r="J3128" s="2">
        <v>1.8414280415591584E-3</v>
      </c>
      <c r="K3128" s="2">
        <v>1.8414280415591584E-3</v>
      </c>
      <c r="L3128" s="2">
        <v>1.8414280415591584E-3</v>
      </c>
      <c r="M3128" s="2">
        <v>1.8414280415591584E-3</v>
      </c>
      <c r="N3128" t="s">
        <v>256</v>
      </c>
      <c r="O3128" s="30" t="s">
        <v>280</v>
      </c>
      <c r="P3128" t="s">
        <v>678</v>
      </c>
      <c r="Q3128" t="s">
        <v>245</v>
      </c>
    </row>
    <row r="3129" spans="1:17" x14ac:dyDescent="0.25">
      <c r="A3129" t="s">
        <v>678</v>
      </c>
      <c r="B3129" s="30" t="s">
        <v>180</v>
      </c>
      <c r="C3129" s="2">
        <v>1.1554609543218536E-3</v>
      </c>
      <c r="D3129" s="2">
        <v>1.1554609543218536E-3</v>
      </c>
      <c r="E3129" s="2">
        <v>1.1554609543218536E-3</v>
      </c>
      <c r="F3129" s="2">
        <v>1.1554609543218536E-3</v>
      </c>
      <c r="G3129" s="2">
        <v>1.1554609543218536E-3</v>
      </c>
      <c r="H3129" s="2">
        <v>1.1554609543218536E-3</v>
      </c>
      <c r="I3129" s="2">
        <v>1.1554609543218536E-3</v>
      </c>
      <c r="J3129" s="2">
        <v>1.1554609543218536E-3</v>
      </c>
      <c r="K3129" s="2">
        <v>1.1554609543218536E-3</v>
      </c>
      <c r="L3129" s="2">
        <v>1.1554609543218536E-3</v>
      </c>
      <c r="M3129" s="2">
        <v>1.1554609543218536E-3</v>
      </c>
      <c r="N3129" t="s">
        <v>256</v>
      </c>
      <c r="O3129" s="30" t="s">
        <v>679</v>
      </c>
      <c r="P3129" t="s">
        <v>678</v>
      </c>
      <c r="Q3129" t="s">
        <v>245</v>
      </c>
    </row>
    <row r="3130" spans="1:17" x14ac:dyDescent="0.25">
      <c r="A3130" t="s">
        <v>678</v>
      </c>
      <c r="B3130" s="30" t="s">
        <v>83</v>
      </c>
      <c r="C3130" s="2">
        <v>1.1385929111930674E-2</v>
      </c>
      <c r="D3130" s="2">
        <v>1.1385929111930674E-2</v>
      </c>
      <c r="E3130" s="2">
        <v>1.1385929111930674E-2</v>
      </c>
      <c r="F3130" s="2">
        <v>1.1385929111930674E-2</v>
      </c>
      <c r="G3130" s="2">
        <v>1.1385929111930674E-2</v>
      </c>
      <c r="H3130" s="2">
        <v>1.1385929111930674E-2</v>
      </c>
      <c r="I3130" s="2">
        <v>1.1385929111930674E-2</v>
      </c>
      <c r="J3130" s="2">
        <v>1.1385929111930674E-2</v>
      </c>
      <c r="K3130" s="2">
        <v>1.1385929111930674E-2</v>
      </c>
      <c r="L3130" s="2">
        <v>1.1385929111930674E-2</v>
      </c>
      <c r="M3130" s="2">
        <v>1.1385929111930674E-2</v>
      </c>
      <c r="N3130" t="s">
        <v>256</v>
      </c>
      <c r="O3130" s="30" t="s">
        <v>280</v>
      </c>
      <c r="P3130" t="s">
        <v>678</v>
      </c>
      <c r="Q3130" t="s">
        <v>245</v>
      </c>
    </row>
    <row r="3131" spans="1:17" x14ac:dyDescent="0.25">
      <c r="A3131" t="s">
        <v>678</v>
      </c>
      <c r="B3131" s="30" t="s">
        <v>83</v>
      </c>
      <c r="C3131" s="2">
        <v>1.265103234658964E-3</v>
      </c>
      <c r="D3131" s="2">
        <v>1.265103234658964E-3</v>
      </c>
      <c r="E3131" s="2">
        <v>1.265103234658964E-3</v>
      </c>
      <c r="F3131" s="2">
        <v>1.265103234658964E-3</v>
      </c>
      <c r="G3131" s="2">
        <v>1.265103234658964E-3</v>
      </c>
      <c r="H3131" s="2">
        <v>1.265103234658964E-3</v>
      </c>
      <c r="I3131" s="2">
        <v>1.265103234658964E-3</v>
      </c>
      <c r="J3131" s="2">
        <v>1.265103234658964E-3</v>
      </c>
      <c r="K3131" s="2">
        <v>1.265103234658964E-3</v>
      </c>
      <c r="L3131" s="2">
        <v>1.265103234658964E-3</v>
      </c>
      <c r="M3131" s="2">
        <v>1.265103234658964E-3</v>
      </c>
      <c r="N3131" t="s">
        <v>256</v>
      </c>
      <c r="O3131" s="33" t="s">
        <v>679</v>
      </c>
      <c r="P3131" t="s">
        <v>678</v>
      </c>
      <c r="Q3131" t="s">
        <v>245</v>
      </c>
    </row>
    <row r="3132" spans="1:17" x14ac:dyDescent="0.25">
      <c r="A3132" t="s">
        <v>678</v>
      </c>
      <c r="B3132" s="30" t="s">
        <v>131</v>
      </c>
      <c r="C3132" s="2">
        <v>4.9198459125626378E-4</v>
      </c>
      <c r="D3132" s="2">
        <v>4.9198459125626378E-4</v>
      </c>
      <c r="E3132" s="2">
        <v>4.9198459125626378E-4</v>
      </c>
      <c r="F3132" s="2">
        <v>4.9198459125626378E-4</v>
      </c>
      <c r="G3132" s="2">
        <v>4.9198459125626378E-4</v>
      </c>
      <c r="H3132" s="2">
        <v>4.9198459125626378E-4</v>
      </c>
      <c r="I3132" s="2">
        <v>4.9198459125626378E-4</v>
      </c>
      <c r="J3132" s="2">
        <v>4.9198459125626378E-4</v>
      </c>
      <c r="K3132" s="2">
        <v>4.9198459125626378E-4</v>
      </c>
      <c r="L3132" s="2">
        <v>4.9198459125626378E-4</v>
      </c>
      <c r="M3132" s="2">
        <v>4.9198459125626378E-4</v>
      </c>
      <c r="N3132" t="s">
        <v>256</v>
      </c>
      <c r="O3132" s="30" t="s">
        <v>679</v>
      </c>
      <c r="P3132" t="s">
        <v>678</v>
      </c>
      <c r="Q3132" t="s">
        <v>245</v>
      </c>
    </row>
    <row r="3133" spans="1:17" x14ac:dyDescent="0.25">
      <c r="A3133" t="s">
        <v>436</v>
      </c>
      <c r="B3133" t="s">
        <v>85</v>
      </c>
      <c r="C3133" s="4">
        <v>0.92368725388297634</v>
      </c>
      <c r="D3133" s="4">
        <v>0.92368725388297634</v>
      </c>
      <c r="E3133" s="4">
        <v>0.92368725388297634</v>
      </c>
      <c r="F3133" s="4">
        <v>0.92368725388297634</v>
      </c>
      <c r="G3133" s="4">
        <v>0.92368725388297634</v>
      </c>
      <c r="H3133" s="4">
        <v>0.92368725388297634</v>
      </c>
      <c r="I3133" s="4">
        <v>0.92368725388297634</v>
      </c>
      <c r="J3133" s="4">
        <v>0.92368725388297634</v>
      </c>
      <c r="K3133" s="4">
        <v>0.92368725388297634</v>
      </c>
      <c r="L3133" s="4">
        <v>0.92368725388297634</v>
      </c>
      <c r="M3133" s="4">
        <v>0.92368725388297634</v>
      </c>
      <c r="N3133" t="s">
        <v>435</v>
      </c>
      <c r="O3133" t="s">
        <v>437</v>
      </c>
      <c r="P3133" t="s">
        <v>436</v>
      </c>
      <c r="Q3133" t="s">
        <v>245</v>
      </c>
    </row>
    <row r="3134" spans="1:17" x14ac:dyDescent="0.25">
      <c r="A3134" t="s">
        <v>436</v>
      </c>
      <c r="B3134" t="s">
        <v>187</v>
      </c>
      <c r="C3134" s="4">
        <v>1.253219295071187E-4</v>
      </c>
      <c r="D3134" s="4">
        <v>1.253219295071187E-4</v>
      </c>
      <c r="E3134" s="4">
        <v>1.253219295071187E-4</v>
      </c>
      <c r="F3134" s="4">
        <v>1.253219295071187E-4</v>
      </c>
      <c r="G3134" s="4">
        <v>1.253219295071187E-4</v>
      </c>
      <c r="H3134" s="4">
        <v>1.253219295071187E-4</v>
      </c>
      <c r="I3134" s="4">
        <v>1.253219295071187E-4</v>
      </c>
      <c r="J3134" s="4">
        <v>1.253219295071187E-4</v>
      </c>
      <c r="K3134" s="4">
        <v>1.253219295071187E-4</v>
      </c>
      <c r="L3134" s="4">
        <v>1.253219295071187E-4</v>
      </c>
      <c r="M3134" s="4">
        <v>1.253219295071187E-4</v>
      </c>
      <c r="N3134" t="s">
        <v>256</v>
      </c>
      <c r="O3134" t="s">
        <v>437</v>
      </c>
      <c r="P3134" t="s">
        <v>436</v>
      </c>
      <c r="Q3134" t="s">
        <v>245</v>
      </c>
    </row>
    <row r="3135" spans="1:17" x14ac:dyDescent="0.25">
      <c r="A3135" t="s">
        <v>436</v>
      </c>
      <c r="B3135" t="s">
        <v>116</v>
      </c>
      <c r="C3135" s="4">
        <v>5.1647611658444469E-2</v>
      </c>
      <c r="D3135" s="4">
        <v>5.1647611658444469E-2</v>
      </c>
      <c r="E3135" s="4">
        <v>5.1647611658444469E-2</v>
      </c>
      <c r="F3135" s="4">
        <v>5.1647611658444469E-2</v>
      </c>
      <c r="G3135" s="4">
        <v>5.1647611658444469E-2</v>
      </c>
      <c r="H3135" s="4">
        <v>5.1647611658444469E-2</v>
      </c>
      <c r="I3135" s="4">
        <v>5.1647611658444469E-2</v>
      </c>
      <c r="J3135" s="4">
        <v>5.1647611658444469E-2</v>
      </c>
      <c r="K3135" s="4">
        <v>5.1647611658444469E-2</v>
      </c>
      <c r="L3135" s="4">
        <v>5.1647611658444469E-2</v>
      </c>
      <c r="M3135" s="4">
        <v>5.1647611658444469E-2</v>
      </c>
      <c r="N3135" t="s">
        <v>256</v>
      </c>
      <c r="O3135" t="s">
        <v>437</v>
      </c>
      <c r="P3135" t="s">
        <v>436</v>
      </c>
      <c r="Q3135" t="s">
        <v>245</v>
      </c>
    </row>
    <row r="3136" spans="1:17" x14ac:dyDescent="0.25">
      <c r="A3136" t="s">
        <v>436</v>
      </c>
      <c r="B3136" t="s">
        <v>86</v>
      </c>
      <c r="C3136" s="4">
        <v>1.2750508702844344E-3</v>
      </c>
      <c r="D3136" s="4">
        <v>1.2750508702844344E-3</v>
      </c>
      <c r="E3136" s="4">
        <v>1.2750508702844344E-3</v>
      </c>
      <c r="F3136" s="4">
        <v>1.2750508702844344E-3</v>
      </c>
      <c r="G3136" s="4">
        <v>1.2750508702844344E-3</v>
      </c>
      <c r="H3136" s="4">
        <v>1.2750508702844344E-3</v>
      </c>
      <c r="I3136" s="4">
        <v>1.2750508702844344E-3</v>
      </c>
      <c r="J3136" s="4">
        <v>1.2750508702844344E-3</v>
      </c>
      <c r="K3136" s="4">
        <v>1.2750508702844344E-3</v>
      </c>
      <c r="L3136" s="4">
        <v>1.2750508702844344E-3</v>
      </c>
      <c r="M3136" s="4">
        <v>1.2750508702844344E-3</v>
      </c>
      <c r="N3136" t="s">
        <v>439</v>
      </c>
      <c r="O3136" t="s">
        <v>438</v>
      </c>
      <c r="P3136" t="s">
        <v>436</v>
      </c>
      <c r="Q3136" t="s">
        <v>245</v>
      </c>
    </row>
    <row r="3137" spans="1:18" x14ac:dyDescent="0.25">
      <c r="A3137" t="s">
        <v>436</v>
      </c>
      <c r="B3137" t="s">
        <v>159</v>
      </c>
      <c r="C3137" s="4">
        <v>5.9346225351700312E-3</v>
      </c>
      <c r="D3137" s="4">
        <v>5.9346225351700312E-3</v>
      </c>
      <c r="E3137" s="4">
        <v>5.9346225351700312E-3</v>
      </c>
      <c r="F3137" s="4">
        <v>5.9346225351700312E-3</v>
      </c>
      <c r="G3137" s="4">
        <v>5.9346225351700312E-3</v>
      </c>
      <c r="H3137" s="4">
        <v>5.9346225351700312E-3</v>
      </c>
      <c r="I3137" s="4">
        <v>5.9346225351700312E-3</v>
      </c>
      <c r="J3137" s="4">
        <v>5.9346225351700312E-3</v>
      </c>
      <c r="K3137" s="4">
        <v>5.9346225351700312E-3</v>
      </c>
      <c r="L3137" s="4">
        <v>5.9346225351700312E-3</v>
      </c>
      <c r="M3137" s="4">
        <v>5.9346225351700312E-3</v>
      </c>
      <c r="N3137" t="s">
        <v>256</v>
      </c>
      <c r="O3137" t="s">
        <v>437</v>
      </c>
      <c r="P3137" t="s">
        <v>436</v>
      </c>
      <c r="Q3137" t="s">
        <v>245</v>
      </c>
    </row>
    <row r="3138" spans="1:18" x14ac:dyDescent="0.25">
      <c r="A3138" t="s">
        <v>436</v>
      </c>
      <c r="B3138" t="s">
        <v>193</v>
      </c>
      <c r="C3138" s="4">
        <v>1.0832808771647319E-4</v>
      </c>
      <c r="D3138" s="4">
        <v>1.0832808771647319E-4</v>
      </c>
      <c r="E3138" s="4">
        <v>1.0832808771647319E-4</v>
      </c>
      <c r="F3138" s="4">
        <v>1.0832808771647319E-4</v>
      </c>
      <c r="G3138" s="4">
        <v>1.0832808771647319E-4</v>
      </c>
      <c r="H3138" s="4">
        <v>1.0832808771647319E-4</v>
      </c>
      <c r="I3138" s="4">
        <v>1.0832808771647319E-4</v>
      </c>
      <c r="J3138" s="4">
        <v>1.0832808771647319E-4</v>
      </c>
      <c r="K3138" s="4">
        <v>1.0832808771647319E-4</v>
      </c>
      <c r="L3138" s="4">
        <v>1.0832808771647319E-4</v>
      </c>
      <c r="M3138" s="4">
        <v>1.0832808771647319E-4</v>
      </c>
      <c r="N3138" t="s">
        <v>256</v>
      </c>
      <c r="O3138" t="s">
        <v>437</v>
      </c>
      <c r="P3138" t="s">
        <v>436</v>
      </c>
      <c r="Q3138" t="s">
        <v>245</v>
      </c>
    </row>
    <row r="3139" spans="1:18" x14ac:dyDescent="0.25">
      <c r="A3139" t="s">
        <v>436</v>
      </c>
      <c r="B3139" t="s">
        <v>203</v>
      </c>
      <c r="C3139" s="4">
        <v>6.3898932821946685E-3</v>
      </c>
      <c r="D3139" s="4">
        <v>6.3898932821946685E-3</v>
      </c>
      <c r="E3139" s="4">
        <v>6.3898932821946685E-3</v>
      </c>
      <c r="F3139" s="4">
        <v>6.3898932821946685E-3</v>
      </c>
      <c r="G3139" s="4">
        <v>6.3898932821946685E-3</v>
      </c>
      <c r="H3139" s="4">
        <v>6.3898932821946685E-3</v>
      </c>
      <c r="I3139" s="4">
        <v>6.3898932821946685E-3</v>
      </c>
      <c r="J3139" s="4">
        <v>6.3898932821946685E-3</v>
      </c>
      <c r="K3139" s="4">
        <v>6.3898932821946685E-3</v>
      </c>
      <c r="L3139" s="4">
        <v>6.3898932821946685E-3</v>
      </c>
      <c r="M3139" s="4">
        <v>6.3898932821946685E-3</v>
      </c>
      <c r="N3139" t="s">
        <v>256</v>
      </c>
      <c r="O3139" t="s">
        <v>437</v>
      </c>
      <c r="P3139" t="s">
        <v>436</v>
      </c>
      <c r="Q3139" t="s">
        <v>245</v>
      </c>
    </row>
    <row r="3140" spans="1:18" x14ac:dyDescent="0.25">
      <c r="A3140" t="s">
        <v>436</v>
      </c>
      <c r="B3140" t="s">
        <v>107</v>
      </c>
      <c r="C3140" s="4">
        <v>4.7474052495205749E-3</v>
      </c>
      <c r="D3140" s="4">
        <v>4.7474052495205749E-3</v>
      </c>
      <c r="E3140" s="4">
        <v>4.7474052495205749E-3</v>
      </c>
      <c r="F3140" s="4">
        <v>4.7474052495205749E-3</v>
      </c>
      <c r="G3140" s="4">
        <v>4.7474052495205749E-3</v>
      </c>
      <c r="H3140" s="4">
        <v>4.7474052495205749E-3</v>
      </c>
      <c r="I3140" s="4">
        <v>4.7474052495205749E-3</v>
      </c>
      <c r="J3140" s="4">
        <v>4.7474052495205749E-3</v>
      </c>
      <c r="K3140" s="4">
        <v>4.7474052495205749E-3</v>
      </c>
      <c r="L3140" s="4">
        <v>4.7474052495205749E-3</v>
      </c>
      <c r="M3140" s="4">
        <v>4.7474052495205749E-3</v>
      </c>
      <c r="N3140" t="s">
        <v>256</v>
      </c>
      <c r="O3140" t="s">
        <v>437</v>
      </c>
      <c r="P3140" t="s">
        <v>436</v>
      </c>
      <c r="Q3140" t="s">
        <v>245</v>
      </c>
    </row>
    <row r="3141" spans="1:18" x14ac:dyDescent="0.25">
      <c r="A3141" t="s">
        <v>436</v>
      </c>
      <c r="B3141" t="s">
        <v>204</v>
      </c>
      <c r="C3141" s="4">
        <v>5.7296775043550819E-3</v>
      </c>
      <c r="D3141" s="4">
        <v>5.7296775043550819E-3</v>
      </c>
      <c r="E3141" s="4">
        <v>5.7296775043550819E-3</v>
      </c>
      <c r="F3141" s="4">
        <v>5.7296775043550819E-3</v>
      </c>
      <c r="G3141" s="4">
        <v>5.7296775043550819E-3</v>
      </c>
      <c r="H3141" s="4">
        <v>5.7296775043550819E-3</v>
      </c>
      <c r="I3141" s="4">
        <v>5.7296775043550819E-3</v>
      </c>
      <c r="J3141" s="4">
        <v>5.7296775043550819E-3</v>
      </c>
      <c r="K3141" s="4">
        <v>5.7296775043550819E-3</v>
      </c>
      <c r="L3141" s="4">
        <v>5.7296775043550819E-3</v>
      </c>
      <c r="M3141" s="4">
        <v>5.7296775043550819E-3</v>
      </c>
      <c r="N3141" t="s">
        <v>256</v>
      </c>
      <c r="O3141" t="s">
        <v>437</v>
      </c>
      <c r="P3141" t="s">
        <v>436</v>
      </c>
      <c r="Q3141" t="s">
        <v>245</v>
      </c>
    </row>
    <row r="3142" spans="1:18" x14ac:dyDescent="0.25">
      <c r="A3142" t="s">
        <v>436</v>
      </c>
      <c r="B3142" t="s">
        <v>142</v>
      </c>
      <c r="C3142" s="4">
        <v>3.0741754622242389E-4</v>
      </c>
      <c r="D3142" s="4">
        <v>3.0741754622242389E-4</v>
      </c>
      <c r="E3142" s="4">
        <v>3.0741754622242389E-4</v>
      </c>
      <c r="F3142" s="4">
        <v>3.0741754622242389E-4</v>
      </c>
      <c r="G3142" s="4">
        <v>3.0741754622242389E-4</v>
      </c>
      <c r="H3142" s="4">
        <v>3.0741754622242389E-4</v>
      </c>
      <c r="I3142" s="4">
        <v>3.0741754622242389E-4</v>
      </c>
      <c r="J3142" s="4">
        <v>3.0741754622242389E-4</v>
      </c>
      <c r="K3142" s="4">
        <v>3.0741754622242389E-4</v>
      </c>
      <c r="L3142" s="4">
        <v>3.0741754622242389E-4</v>
      </c>
      <c r="M3142" s="4">
        <v>3.0741754622242389E-4</v>
      </c>
      <c r="N3142" t="s">
        <v>256</v>
      </c>
      <c r="O3142" t="s">
        <v>437</v>
      </c>
      <c r="P3142" t="s">
        <v>436</v>
      </c>
      <c r="Q3142" t="s">
        <v>245</v>
      </c>
    </row>
    <row r="3143" spans="1:18" x14ac:dyDescent="0.25">
      <c r="A3143" t="s">
        <v>436</v>
      </c>
      <c r="B3143" t="s">
        <v>158</v>
      </c>
      <c r="C3143" s="4">
        <v>4.2452899240239495E-5</v>
      </c>
      <c r="D3143" s="4">
        <v>4.2452899240239495E-5</v>
      </c>
      <c r="E3143" s="4">
        <v>4.2452899240239495E-5</v>
      </c>
      <c r="F3143" s="4">
        <v>4.2452899240239495E-5</v>
      </c>
      <c r="G3143" s="4">
        <v>4.2452899240239495E-5</v>
      </c>
      <c r="H3143" s="4">
        <v>4.2452899240239495E-5</v>
      </c>
      <c r="I3143" s="4">
        <v>4.2452899240239495E-5</v>
      </c>
      <c r="J3143" s="4">
        <v>4.2452899240239495E-5</v>
      </c>
      <c r="K3143" s="4">
        <v>4.2452899240239495E-5</v>
      </c>
      <c r="L3143" s="4">
        <v>4.2452899240239495E-5</v>
      </c>
      <c r="M3143" s="4">
        <v>4.2452899240239495E-5</v>
      </c>
      <c r="N3143" t="s">
        <v>256</v>
      </c>
      <c r="O3143" t="s">
        <v>437</v>
      </c>
      <c r="P3143" t="s">
        <v>436</v>
      </c>
      <c r="Q3143" t="s">
        <v>245</v>
      </c>
    </row>
    <row r="3144" spans="1:18" x14ac:dyDescent="0.25">
      <c r="A3144" t="s">
        <v>434</v>
      </c>
      <c r="B3144" t="s">
        <v>85</v>
      </c>
      <c r="C3144" s="4">
        <v>0.88800000000000001</v>
      </c>
      <c r="D3144" s="4">
        <v>0.88800000000000001</v>
      </c>
      <c r="E3144" s="4">
        <v>0.88800000000000001</v>
      </c>
      <c r="F3144" s="4">
        <v>0.88800000000000001</v>
      </c>
      <c r="G3144" s="4">
        <v>0.88800000000000001</v>
      </c>
      <c r="H3144" s="4">
        <v>0.88800000000000001</v>
      </c>
      <c r="I3144" s="4">
        <v>0.88800000000000001</v>
      </c>
      <c r="J3144" s="4">
        <v>0.88800000000000001</v>
      </c>
      <c r="K3144" s="4">
        <v>0.88800000000000001</v>
      </c>
      <c r="L3144" s="4">
        <v>0.88800000000000001</v>
      </c>
      <c r="M3144" s="4">
        <v>0.88800000000000001</v>
      </c>
      <c r="N3144" t="s">
        <v>435</v>
      </c>
      <c r="O3144" t="s">
        <v>433</v>
      </c>
      <c r="P3144" t="s">
        <v>434</v>
      </c>
      <c r="Q3144" t="s">
        <v>245</v>
      </c>
    </row>
    <row r="3145" spans="1:18" x14ac:dyDescent="0.25">
      <c r="A3145" t="s">
        <v>434</v>
      </c>
      <c r="B3145" t="s">
        <v>116</v>
      </c>
      <c r="C3145" s="4">
        <v>0.112</v>
      </c>
      <c r="D3145" s="4">
        <v>0.112</v>
      </c>
      <c r="E3145" s="4">
        <v>0.112</v>
      </c>
      <c r="F3145" s="4">
        <v>0.112</v>
      </c>
      <c r="G3145" s="4">
        <v>0.112</v>
      </c>
      <c r="H3145" s="4">
        <v>0.112</v>
      </c>
      <c r="I3145" s="4">
        <v>0.112</v>
      </c>
      <c r="J3145" s="4">
        <v>0.112</v>
      </c>
      <c r="K3145" s="4">
        <v>0.112</v>
      </c>
      <c r="L3145" s="4">
        <v>0.112</v>
      </c>
      <c r="M3145" s="4">
        <v>0.112</v>
      </c>
      <c r="N3145" t="s">
        <v>256</v>
      </c>
      <c r="O3145" t="s">
        <v>433</v>
      </c>
      <c r="P3145" t="s">
        <v>434</v>
      </c>
      <c r="Q3145" t="s">
        <v>245</v>
      </c>
    </row>
    <row r="3146" spans="1:18" x14ac:dyDescent="0.25">
      <c r="A3146" t="s">
        <v>431</v>
      </c>
      <c r="B3146" t="s">
        <v>83</v>
      </c>
      <c r="C3146" s="4">
        <v>4.8244099021301091E-2</v>
      </c>
      <c r="D3146" s="4">
        <v>4.8244099021301091E-2</v>
      </c>
      <c r="E3146" s="4">
        <v>4.8244099021301091E-2</v>
      </c>
      <c r="F3146" s="4">
        <v>4.8244099021301091E-2</v>
      </c>
      <c r="G3146" s="4">
        <v>4.8244099021301091E-2</v>
      </c>
      <c r="H3146" s="4">
        <v>4.8244099021301091E-2</v>
      </c>
      <c r="I3146" s="4">
        <v>4.8244099021301091E-2</v>
      </c>
      <c r="J3146" s="4">
        <v>4.8244099021301091E-2</v>
      </c>
      <c r="K3146" s="4">
        <v>4.8244099021301091E-2</v>
      </c>
      <c r="L3146" s="4">
        <v>4.8244099021301091E-2</v>
      </c>
      <c r="M3146" s="4">
        <v>4.8244099021301091E-2</v>
      </c>
      <c r="N3146" t="s">
        <v>256</v>
      </c>
      <c r="O3146" t="s">
        <v>430</v>
      </c>
      <c r="P3146" t="s">
        <v>431</v>
      </c>
      <c r="Q3146" t="s">
        <v>245</v>
      </c>
      <c r="R3146" t="s">
        <v>429</v>
      </c>
    </row>
    <row r="3147" spans="1:18" x14ac:dyDescent="0.25">
      <c r="A3147" t="s">
        <v>431</v>
      </c>
      <c r="B3147" t="s">
        <v>144</v>
      </c>
      <c r="C3147" s="4">
        <v>1.02475532527346E-2</v>
      </c>
      <c r="D3147" s="4">
        <v>1.02475532527346E-2</v>
      </c>
      <c r="E3147" s="4">
        <v>1.02475532527346E-2</v>
      </c>
      <c r="F3147" s="4">
        <v>1.02475532527346E-2</v>
      </c>
      <c r="G3147" s="4">
        <v>1.02475532527346E-2</v>
      </c>
      <c r="H3147" s="4">
        <v>1.02475532527346E-2</v>
      </c>
      <c r="I3147" s="4">
        <v>1.02475532527346E-2</v>
      </c>
      <c r="J3147" s="4">
        <v>1.02475532527346E-2</v>
      </c>
      <c r="K3147" s="4">
        <v>1.02475532527346E-2</v>
      </c>
      <c r="L3147" s="4">
        <v>1.02475532527346E-2</v>
      </c>
      <c r="M3147" s="4">
        <v>1.02475532527346E-2</v>
      </c>
      <c r="N3147" t="s">
        <v>256</v>
      </c>
      <c r="O3147" t="s">
        <v>430</v>
      </c>
      <c r="P3147" t="s">
        <v>431</v>
      </c>
      <c r="Q3147" t="s">
        <v>245</v>
      </c>
      <c r="R3147" t="s">
        <v>578</v>
      </c>
    </row>
    <row r="3148" spans="1:18" x14ac:dyDescent="0.25">
      <c r="A3148" t="s">
        <v>431</v>
      </c>
      <c r="B3148" t="s">
        <v>187</v>
      </c>
      <c r="C3148" s="4">
        <v>3.4542314335060447E-3</v>
      </c>
      <c r="D3148" s="4">
        <v>3.4542314335060447E-3</v>
      </c>
      <c r="E3148" s="4">
        <v>3.4542314335060447E-3</v>
      </c>
      <c r="F3148" s="4">
        <v>3.4542314335060447E-3</v>
      </c>
      <c r="G3148" s="4">
        <v>3.4542314335060447E-3</v>
      </c>
      <c r="H3148" s="4">
        <v>3.4542314335060447E-3</v>
      </c>
      <c r="I3148" s="4">
        <v>3.4542314335060447E-3</v>
      </c>
      <c r="J3148" s="4">
        <v>3.4542314335060447E-3</v>
      </c>
      <c r="K3148" s="4">
        <v>3.4542314335060447E-3</v>
      </c>
      <c r="L3148" s="4">
        <v>3.4542314335060447E-3</v>
      </c>
      <c r="M3148" s="4">
        <v>3.4542314335060447E-3</v>
      </c>
      <c r="N3148" t="s">
        <v>256</v>
      </c>
      <c r="O3148" t="s">
        <v>430</v>
      </c>
      <c r="P3148" t="s">
        <v>431</v>
      </c>
      <c r="Q3148" t="s">
        <v>245</v>
      </c>
    </row>
    <row r="3149" spans="1:18" x14ac:dyDescent="0.25">
      <c r="A3149" t="s">
        <v>431</v>
      </c>
      <c r="B3149" t="s">
        <v>86</v>
      </c>
      <c r="C3149" s="4">
        <v>3.4196891191709843E-2</v>
      </c>
      <c r="D3149" s="4">
        <v>3.4196891191709843E-2</v>
      </c>
      <c r="E3149" s="4">
        <v>3.4196891191709843E-2</v>
      </c>
      <c r="F3149" s="4">
        <v>3.4196891191709843E-2</v>
      </c>
      <c r="G3149" s="4">
        <v>3.4196891191709843E-2</v>
      </c>
      <c r="H3149" s="4">
        <v>3.4196891191709843E-2</v>
      </c>
      <c r="I3149" s="4">
        <v>3.4196891191709843E-2</v>
      </c>
      <c r="J3149" s="4">
        <v>3.4196891191709843E-2</v>
      </c>
      <c r="K3149" s="4">
        <v>3.4196891191709843E-2</v>
      </c>
      <c r="L3149" s="4">
        <v>3.4196891191709843E-2</v>
      </c>
      <c r="M3149" s="4">
        <v>3.4196891191709843E-2</v>
      </c>
      <c r="N3149" t="s">
        <v>256</v>
      </c>
      <c r="O3149" t="s">
        <v>430</v>
      </c>
      <c r="P3149" t="s">
        <v>431</v>
      </c>
      <c r="Q3149" t="s">
        <v>245</v>
      </c>
    </row>
    <row r="3150" spans="1:18" x14ac:dyDescent="0.25">
      <c r="A3150" t="s">
        <v>431</v>
      </c>
      <c r="B3150" t="s">
        <v>159</v>
      </c>
      <c r="C3150" s="4">
        <v>0.38906160046056421</v>
      </c>
      <c r="D3150" s="4">
        <v>0.38906160046056421</v>
      </c>
      <c r="E3150" s="4">
        <v>0.38906160046056421</v>
      </c>
      <c r="F3150" s="4">
        <v>0.38906160046056421</v>
      </c>
      <c r="G3150" s="4">
        <v>0.38906160046056421</v>
      </c>
      <c r="H3150" s="4">
        <v>0.38906160046056421</v>
      </c>
      <c r="I3150" s="4">
        <v>0.38906160046056421</v>
      </c>
      <c r="J3150" s="4">
        <v>0.38906160046056421</v>
      </c>
      <c r="K3150" s="4">
        <v>0.38906160046056421</v>
      </c>
      <c r="L3150" s="4">
        <v>0.38906160046056421</v>
      </c>
      <c r="M3150" s="4">
        <v>0.38906160046056421</v>
      </c>
      <c r="N3150" t="s">
        <v>298</v>
      </c>
      <c r="O3150" t="s">
        <v>430</v>
      </c>
      <c r="P3150" t="s">
        <v>431</v>
      </c>
      <c r="Q3150" t="s">
        <v>245</v>
      </c>
    </row>
    <row r="3151" spans="1:18" x14ac:dyDescent="0.25">
      <c r="A3151" t="s">
        <v>431</v>
      </c>
      <c r="B3151" t="s">
        <v>193</v>
      </c>
      <c r="C3151" s="4">
        <v>1.6004605641911342E-2</v>
      </c>
      <c r="D3151" s="4">
        <v>1.6004605641911342E-2</v>
      </c>
      <c r="E3151" s="4">
        <v>1.6004605641911342E-2</v>
      </c>
      <c r="F3151" s="4">
        <v>1.6004605641911342E-2</v>
      </c>
      <c r="G3151" s="4">
        <v>1.6004605641911342E-2</v>
      </c>
      <c r="H3151" s="4">
        <v>1.6004605641911342E-2</v>
      </c>
      <c r="I3151" s="4">
        <v>1.6004605641911342E-2</v>
      </c>
      <c r="J3151" s="4">
        <v>1.6004605641911342E-2</v>
      </c>
      <c r="K3151" s="4">
        <v>1.6004605641911342E-2</v>
      </c>
      <c r="L3151" s="4">
        <v>1.6004605641911342E-2</v>
      </c>
      <c r="M3151" s="4">
        <v>1.6004605641911342E-2</v>
      </c>
      <c r="N3151" t="s">
        <v>256</v>
      </c>
      <c r="O3151" t="s">
        <v>430</v>
      </c>
      <c r="P3151" t="s">
        <v>431</v>
      </c>
      <c r="Q3151" t="s">
        <v>245</v>
      </c>
    </row>
    <row r="3152" spans="1:18" x14ac:dyDescent="0.25">
      <c r="A3152" t="s">
        <v>431</v>
      </c>
      <c r="B3152" t="s">
        <v>103</v>
      </c>
      <c r="C3152" s="4">
        <v>4.8359240069084626E-3</v>
      </c>
      <c r="D3152" s="4">
        <v>4.8359240069084626E-3</v>
      </c>
      <c r="E3152" s="4">
        <v>4.8359240069084626E-3</v>
      </c>
      <c r="F3152" s="4">
        <v>4.8359240069084626E-3</v>
      </c>
      <c r="G3152" s="4">
        <v>4.8359240069084626E-3</v>
      </c>
      <c r="H3152" s="4">
        <v>4.8359240069084626E-3</v>
      </c>
      <c r="I3152" s="4">
        <v>4.8359240069084626E-3</v>
      </c>
      <c r="J3152" s="4">
        <v>4.8359240069084626E-3</v>
      </c>
      <c r="K3152" s="4">
        <v>4.8359240069084626E-3</v>
      </c>
      <c r="L3152" s="4">
        <v>4.8359240069084626E-3</v>
      </c>
      <c r="M3152" s="4">
        <v>4.8359240069084626E-3</v>
      </c>
      <c r="N3152" t="s">
        <v>256</v>
      </c>
      <c r="O3152" t="s">
        <v>430</v>
      </c>
      <c r="P3152" t="s">
        <v>431</v>
      </c>
      <c r="Q3152" t="s">
        <v>245</v>
      </c>
    </row>
    <row r="3153" spans="1:18" x14ac:dyDescent="0.25">
      <c r="A3153" t="s">
        <v>431</v>
      </c>
      <c r="B3153" t="s">
        <v>105</v>
      </c>
      <c r="C3153" s="4">
        <v>5.4461715601611976E-2</v>
      </c>
      <c r="D3153" s="4">
        <v>5.4461715601611976E-2</v>
      </c>
      <c r="E3153" s="4">
        <v>5.4461715601611976E-2</v>
      </c>
      <c r="F3153" s="4">
        <v>5.4461715601611976E-2</v>
      </c>
      <c r="G3153" s="4">
        <v>5.4461715601611976E-2</v>
      </c>
      <c r="H3153" s="4">
        <v>5.4461715601611976E-2</v>
      </c>
      <c r="I3153" s="4">
        <v>5.4461715601611976E-2</v>
      </c>
      <c r="J3153" s="4">
        <v>5.4461715601611976E-2</v>
      </c>
      <c r="K3153" s="4">
        <v>5.4461715601611976E-2</v>
      </c>
      <c r="L3153" s="4">
        <v>5.4461715601611976E-2</v>
      </c>
      <c r="M3153" s="4">
        <v>5.4461715601611976E-2</v>
      </c>
      <c r="N3153" t="s">
        <v>256</v>
      </c>
      <c r="O3153" t="s">
        <v>430</v>
      </c>
      <c r="P3153" t="s">
        <v>431</v>
      </c>
      <c r="Q3153" t="s">
        <v>245</v>
      </c>
    </row>
    <row r="3154" spans="1:18" x14ac:dyDescent="0.25">
      <c r="A3154" t="s">
        <v>431</v>
      </c>
      <c r="B3154" t="s">
        <v>203</v>
      </c>
      <c r="C3154" s="4">
        <v>0.25480713874496258</v>
      </c>
      <c r="D3154" s="4">
        <v>0.25480713874496258</v>
      </c>
      <c r="E3154" s="4">
        <v>0.25480713874496258</v>
      </c>
      <c r="F3154" s="4">
        <v>0.25480713874496258</v>
      </c>
      <c r="G3154" s="4">
        <v>0.25480713874496258</v>
      </c>
      <c r="H3154" s="4">
        <v>0.25480713874496258</v>
      </c>
      <c r="I3154" s="4">
        <v>0.25480713874496258</v>
      </c>
      <c r="J3154" s="4">
        <v>0.25480713874496258</v>
      </c>
      <c r="K3154" s="4">
        <v>0.25480713874496258</v>
      </c>
      <c r="L3154" s="4">
        <v>0.25480713874496258</v>
      </c>
      <c r="M3154" s="4">
        <v>0.25480713874496258</v>
      </c>
      <c r="N3154" t="s">
        <v>256</v>
      </c>
      <c r="O3154" t="s">
        <v>430</v>
      </c>
      <c r="P3154" t="s">
        <v>431</v>
      </c>
      <c r="Q3154" t="s">
        <v>245</v>
      </c>
    </row>
    <row r="3155" spans="1:18" x14ac:dyDescent="0.25">
      <c r="A3155" t="s">
        <v>431</v>
      </c>
      <c r="B3155" t="s">
        <v>107</v>
      </c>
      <c r="C3155" s="4">
        <v>2.5676453655728269E-2</v>
      </c>
      <c r="D3155" s="4">
        <v>2.5676453655728269E-2</v>
      </c>
      <c r="E3155" s="4">
        <v>2.5676453655728269E-2</v>
      </c>
      <c r="F3155" s="4">
        <v>2.5676453655728269E-2</v>
      </c>
      <c r="G3155" s="4">
        <v>2.5676453655728269E-2</v>
      </c>
      <c r="H3155" s="4">
        <v>2.5676453655728269E-2</v>
      </c>
      <c r="I3155" s="4">
        <v>2.5676453655728269E-2</v>
      </c>
      <c r="J3155" s="4">
        <v>2.5676453655728269E-2</v>
      </c>
      <c r="K3155" s="4">
        <v>2.5676453655728269E-2</v>
      </c>
      <c r="L3155" s="4">
        <v>2.5676453655728269E-2</v>
      </c>
      <c r="M3155" s="4">
        <v>2.5676453655728269E-2</v>
      </c>
      <c r="N3155" t="s">
        <v>256</v>
      </c>
      <c r="O3155" t="s">
        <v>430</v>
      </c>
      <c r="P3155" t="s">
        <v>431</v>
      </c>
      <c r="Q3155" t="s">
        <v>245</v>
      </c>
    </row>
    <row r="3156" spans="1:18" x14ac:dyDescent="0.25">
      <c r="A3156" t="s">
        <v>431</v>
      </c>
      <c r="B3156" t="s">
        <v>204</v>
      </c>
      <c r="C3156" s="4">
        <v>0.15290731145653425</v>
      </c>
      <c r="D3156" s="4">
        <v>0.15290731145653425</v>
      </c>
      <c r="E3156" s="4">
        <v>0.15290731145653425</v>
      </c>
      <c r="F3156" s="4">
        <v>0.15290731145653425</v>
      </c>
      <c r="G3156" s="4">
        <v>0.15290731145653425</v>
      </c>
      <c r="H3156" s="4">
        <v>0.15290731145653425</v>
      </c>
      <c r="I3156" s="4">
        <v>0.15290731145653425</v>
      </c>
      <c r="J3156" s="4">
        <v>0.15290731145653425</v>
      </c>
      <c r="K3156" s="4">
        <v>0.15290731145653425</v>
      </c>
      <c r="L3156" s="4">
        <v>0.15290731145653425</v>
      </c>
      <c r="M3156" s="4">
        <v>0.15290731145653425</v>
      </c>
      <c r="N3156" t="s">
        <v>432</v>
      </c>
      <c r="O3156" t="s">
        <v>430</v>
      </c>
      <c r="P3156" t="s">
        <v>431</v>
      </c>
      <c r="Q3156" t="s">
        <v>245</v>
      </c>
    </row>
    <row r="3157" spans="1:18" x14ac:dyDescent="0.25">
      <c r="A3157" t="s">
        <v>431</v>
      </c>
      <c r="B3157" t="s">
        <v>121</v>
      </c>
      <c r="C3157" s="4">
        <v>4.9510650546919976E-3</v>
      </c>
      <c r="D3157" s="4">
        <v>4.9510650546919976E-3</v>
      </c>
      <c r="E3157" s="4">
        <v>4.9510650546919976E-3</v>
      </c>
      <c r="F3157" s="4">
        <v>4.9510650546919976E-3</v>
      </c>
      <c r="G3157" s="4">
        <v>4.9510650546919976E-3</v>
      </c>
      <c r="H3157" s="4">
        <v>4.9510650546919976E-3</v>
      </c>
      <c r="I3157" s="4">
        <v>4.9510650546919976E-3</v>
      </c>
      <c r="J3157" s="4">
        <v>4.9510650546919976E-3</v>
      </c>
      <c r="K3157" s="4">
        <v>4.9510650546919976E-3</v>
      </c>
      <c r="L3157" s="4">
        <v>4.9510650546919976E-3</v>
      </c>
      <c r="M3157" s="4">
        <v>4.9510650546919976E-3</v>
      </c>
      <c r="N3157" t="s">
        <v>256</v>
      </c>
      <c r="O3157" t="s">
        <v>430</v>
      </c>
      <c r="P3157" t="s">
        <v>431</v>
      </c>
      <c r="Q3157" t="s">
        <v>245</v>
      </c>
    </row>
    <row r="3158" spans="1:18" x14ac:dyDescent="0.25">
      <c r="A3158" t="s">
        <v>431</v>
      </c>
      <c r="B3158" t="s">
        <v>158</v>
      </c>
      <c r="C3158" s="4">
        <v>1.1514104778353484E-3</v>
      </c>
      <c r="D3158" s="4">
        <v>1.1514104778353484E-3</v>
      </c>
      <c r="E3158" s="4">
        <v>1.1514104778353484E-3</v>
      </c>
      <c r="F3158" s="4">
        <v>1.1514104778353484E-3</v>
      </c>
      <c r="G3158" s="4">
        <v>1.1514104778353484E-3</v>
      </c>
      <c r="H3158" s="4">
        <v>1.1514104778353484E-3</v>
      </c>
      <c r="I3158" s="4">
        <v>1.1514104778353484E-3</v>
      </c>
      <c r="J3158" s="4">
        <v>1.1514104778353484E-3</v>
      </c>
      <c r="K3158" s="4">
        <v>1.1514104778353484E-3</v>
      </c>
      <c r="L3158" s="4">
        <v>1.1514104778353484E-3</v>
      </c>
      <c r="M3158" s="4">
        <v>1.1514104778353484E-3</v>
      </c>
      <c r="N3158" t="s">
        <v>256</v>
      </c>
      <c r="O3158" t="s">
        <v>430</v>
      </c>
      <c r="P3158" t="s">
        <v>431</v>
      </c>
      <c r="Q3158" t="s">
        <v>245</v>
      </c>
    </row>
    <row r="3159" spans="1:18" x14ac:dyDescent="0.25">
      <c r="A3159" t="s">
        <v>422</v>
      </c>
      <c r="B3159" t="s">
        <v>147</v>
      </c>
      <c r="C3159" s="4">
        <v>6.7950169875424689E-3</v>
      </c>
      <c r="D3159" s="4">
        <v>6.7950169875424689E-3</v>
      </c>
      <c r="E3159" s="4">
        <v>6.7950169875424689E-3</v>
      </c>
      <c r="F3159" s="4">
        <v>6.7950169875424689E-3</v>
      </c>
      <c r="G3159" s="4">
        <v>6.7950169875424689E-3</v>
      </c>
      <c r="H3159" s="4">
        <v>6.7950169875424689E-3</v>
      </c>
      <c r="I3159" s="4">
        <v>6.7950169875424689E-3</v>
      </c>
      <c r="J3159" s="4">
        <v>6.7950169875424689E-3</v>
      </c>
      <c r="K3159" s="4">
        <v>6.7950169875424689E-3</v>
      </c>
      <c r="L3159" s="4">
        <v>6.7950169875424689E-3</v>
      </c>
      <c r="M3159" s="4">
        <v>6.7950169875424689E-3</v>
      </c>
      <c r="N3159" t="s">
        <v>256</v>
      </c>
      <c r="O3159" t="s">
        <v>421</v>
      </c>
      <c r="P3159" t="s">
        <v>422</v>
      </c>
      <c r="Q3159" t="s">
        <v>245</v>
      </c>
      <c r="R3159" t="s">
        <v>423</v>
      </c>
    </row>
    <row r="3160" spans="1:18" x14ac:dyDescent="0.25">
      <c r="A3160" t="s">
        <v>422</v>
      </c>
      <c r="B3160" t="s">
        <v>116</v>
      </c>
      <c r="C3160" s="4">
        <v>3.661759154397886E-2</v>
      </c>
      <c r="D3160" s="4">
        <v>3.661759154397886E-2</v>
      </c>
      <c r="E3160" s="4">
        <v>3.661759154397886E-2</v>
      </c>
      <c r="F3160" s="4">
        <v>3.661759154397886E-2</v>
      </c>
      <c r="G3160" s="4">
        <v>3.661759154397886E-2</v>
      </c>
      <c r="H3160" s="4">
        <v>3.661759154397886E-2</v>
      </c>
      <c r="I3160" s="4">
        <v>3.661759154397886E-2</v>
      </c>
      <c r="J3160" s="4">
        <v>3.661759154397886E-2</v>
      </c>
      <c r="K3160" s="4">
        <v>3.661759154397886E-2</v>
      </c>
      <c r="L3160" s="4">
        <v>3.661759154397886E-2</v>
      </c>
      <c r="M3160" s="4">
        <v>3.661759154397886E-2</v>
      </c>
      <c r="N3160" t="s">
        <v>288</v>
      </c>
      <c r="O3160" t="s">
        <v>421</v>
      </c>
      <c r="P3160" t="s">
        <v>422</v>
      </c>
      <c r="Q3160" t="s">
        <v>245</v>
      </c>
      <c r="R3160" t="s">
        <v>579</v>
      </c>
    </row>
    <row r="3161" spans="1:18" x14ac:dyDescent="0.25">
      <c r="A3161" t="s">
        <v>422</v>
      </c>
      <c r="B3161" t="s">
        <v>86</v>
      </c>
      <c r="C3161" s="4">
        <v>0.67497168742921854</v>
      </c>
      <c r="D3161" s="4">
        <v>0.67497168742921854</v>
      </c>
      <c r="E3161" s="4">
        <v>0.67497168742921854</v>
      </c>
      <c r="F3161" s="4">
        <v>0.67497168742921854</v>
      </c>
      <c r="G3161" s="4">
        <v>0.67497168742921854</v>
      </c>
      <c r="H3161" s="4">
        <v>0.67497168742921854</v>
      </c>
      <c r="I3161" s="4">
        <v>0.67497168742921854</v>
      </c>
      <c r="J3161" s="4">
        <v>0.67497168742921854</v>
      </c>
      <c r="K3161" s="4">
        <v>0.67497168742921854</v>
      </c>
      <c r="L3161" s="4">
        <v>0.67497168742921854</v>
      </c>
      <c r="M3161" s="4">
        <v>0.67497168742921854</v>
      </c>
      <c r="N3161" t="s">
        <v>256</v>
      </c>
      <c r="O3161" t="s">
        <v>421</v>
      </c>
      <c r="P3161" t="s">
        <v>422</v>
      </c>
      <c r="Q3161" t="s">
        <v>245</v>
      </c>
    </row>
    <row r="3162" spans="1:18" x14ac:dyDescent="0.25">
      <c r="A3162" t="s">
        <v>422</v>
      </c>
      <c r="B3162" t="s">
        <v>119</v>
      </c>
      <c r="C3162" s="4">
        <v>0.1098527746319366</v>
      </c>
      <c r="D3162" s="4">
        <v>0.1098527746319366</v>
      </c>
      <c r="E3162" s="4">
        <v>0.1098527746319366</v>
      </c>
      <c r="F3162" s="4">
        <v>0.1098527746319366</v>
      </c>
      <c r="G3162" s="4">
        <v>0.1098527746319366</v>
      </c>
      <c r="H3162" s="4">
        <v>0.1098527746319366</v>
      </c>
      <c r="I3162" s="4">
        <v>0.1098527746319366</v>
      </c>
      <c r="J3162" s="4">
        <v>0.1098527746319366</v>
      </c>
      <c r="K3162" s="4">
        <v>0.1098527746319366</v>
      </c>
      <c r="L3162" s="4">
        <v>0.1098527746319366</v>
      </c>
      <c r="M3162" s="4">
        <v>0.1098527746319366</v>
      </c>
      <c r="N3162" t="s">
        <v>256</v>
      </c>
      <c r="O3162" t="s">
        <v>421</v>
      </c>
      <c r="P3162" t="s">
        <v>422</v>
      </c>
      <c r="Q3162" t="s">
        <v>245</v>
      </c>
    </row>
    <row r="3163" spans="1:18" x14ac:dyDescent="0.25">
      <c r="A3163" t="s">
        <v>422</v>
      </c>
      <c r="B3163" t="s">
        <v>107</v>
      </c>
      <c r="C3163" s="4">
        <v>9.4752736881842201E-2</v>
      </c>
      <c r="D3163" s="4">
        <v>9.4752736881842201E-2</v>
      </c>
      <c r="E3163" s="4">
        <v>9.4752736881842201E-2</v>
      </c>
      <c r="F3163" s="4">
        <v>9.4752736881842201E-2</v>
      </c>
      <c r="G3163" s="4">
        <v>9.4752736881842201E-2</v>
      </c>
      <c r="H3163" s="4">
        <v>9.4752736881842201E-2</v>
      </c>
      <c r="I3163" s="4">
        <v>9.4752736881842201E-2</v>
      </c>
      <c r="J3163" s="4">
        <v>9.4752736881842201E-2</v>
      </c>
      <c r="K3163" s="4">
        <v>9.4752736881842201E-2</v>
      </c>
      <c r="L3163" s="4">
        <v>9.4752736881842201E-2</v>
      </c>
      <c r="M3163" s="4">
        <v>9.4752736881842201E-2</v>
      </c>
      <c r="N3163" t="s">
        <v>256</v>
      </c>
      <c r="O3163" t="s">
        <v>421</v>
      </c>
      <c r="P3163" t="s">
        <v>422</v>
      </c>
      <c r="Q3163" t="s">
        <v>245</v>
      </c>
    </row>
    <row r="3164" spans="1:18" x14ac:dyDescent="0.25">
      <c r="A3164" t="s">
        <v>422</v>
      </c>
      <c r="B3164" t="s">
        <v>138</v>
      </c>
      <c r="C3164" s="4">
        <v>7.7010192525481316E-2</v>
      </c>
      <c r="D3164" s="4">
        <v>7.7010192525481316E-2</v>
      </c>
      <c r="E3164" s="4">
        <v>7.7010192525481316E-2</v>
      </c>
      <c r="F3164" s="4">
        <v>7.7010192525481316E-2</v>
      </c>
      <c r="G3164" s="4">
        <v>7.7010192525481316E-2</v>
      </c>
      <c r="H3164" s="4">
        <v>7.7010192525481316E-2</v>
      </c>
      <c r="I3164" s="4">
        <v>7.7010192525481316E-2</v>
      </c>
      <c r="J3164" s="4">
        <v>7.7010192525481316E-2</v>
      </c>
      <c r="K3164" s="4">
        <v>7.7010192525481316E-2</v>
      </c>
      <c r="L3164" s="4">
        <v>7.7010192525481316E-2</v>
      </c>
      <c r="M3164" s="4">
        <v>7.7010192525481316E-2</v>
      </c>
      <c r="N3164" t="s">
        <v>256</v>
      </c>
      <c r="O3164" t="s">
        <v>421</v>
      </c>
      <c r="P3164" t="s">
        <v>422</v>
      </c>
      <c r="Q3164" t="s">
        <v>245</v>
      </c>
    </row>
    <row r="3165" spans="1:18" x14ac:dyDescent="0.25">
      <c r="A3165" t="s">
        <v>416</v>
      </c>
      <c r="B3165" t="s">
        <v>83</v>
      </c>
      <c r="C3165" s="4">
        <v>2.548286828840101E-2</v>
      </c>
      <c r="D3165" s="4">
        <v>2.548286828840101E-2</v>
      </c>
      <c r="E3165" s="4">
        <v>2.548286828840101E-2</v>
      </c>
      <c r="F3165" s="4">
        <v>2.548286828840101E-2</v>
      </c>
      <c r="G3165" s="4">
        <v>2.548286828840101E-2</v>
      </c>
      <c r="H3165" s="4">
        <v>2.548286828840101E-2</v>
      </c>
      <c r="I3165" s="4">
        <v>2.548286828840101E-2</v>
      </c>
      <c r="J3165" s="4">
        <v>2.548286828840101E-2</v>
      </c>
      <c r="K3165" s="4">
        <v>2.548286828840101E-2</v>
      </c>
      <c r="L3165" s="4">
        <v>2.548286828840101E-2</v>
      </c>
      <c r="M3165" s="4">
        <v>2.548286828840101E-2</v>
      </c>
      <c r="N3165" t="s">
        <v>256</v>
      </c>
      <c r="O3165" t="s">
        <v>417</v>
      </c>
      <c r="P3165" t="s">
        <v>416</v>
      </c>
      <c r="Q3165" t="s">
        <v>245</v>
      </c>
      <c r="R3165" t="s">
        <v>418</v>
      </c>
    </row>
    <row r="3166" spans="1:18" x14ac:dyDescent="0.25">
      <c r="A3166" t="s">
        <v>416</v>
      </c>
      <c r="B3166" t="s">
        <v>144</v>
      </c>
      <c r="C3166" s="4">
        <v>5.7069676493804677E-2</v>
      </c>
      <c r="D3166" s="4">
        <v>5.7069676493804677E-2</v>
      </c>
      <c r="E3166" s="4">
        <v>5.7069676493804677E-2</v>
      </c>
      <c r="F3166" s="4">
        <v>5.7069676493804677E-2</v>
      </c>
      <c r="G3166" s="4">
        <v>5.7069676493804677E-2</v>
      </c>
      <c r="H3166" s="4">
        <v>5.7069676493804677E-2</v>
      </c>
      <c r="I3166" s="4">
        <v>5.7069676493804677E-2</v>
      </c>
      <c r="J3166" s="4">
        <v>5.7069676493804677E-2</v>
      </c>
      <c r="K3166" s="4">
        <v>5.7069676493804677E-2</v>
      </c>
      <c r="L3166" s="4">
        <v>5.7069676493804677E-2</v>
      </c>
      <c r="M3166" s="4">
        <v>5.7069676493804677E-2</v>
      </c>
      <c r="N3166" t="s">
        <v>256</v>
      </c>
      <c r="O3166" t="s">
        <v>417</v>
      </c>
      <c r="P3166" t="s">
        <v>416</v>
      </c>
      <c r="Q3166" t="s">
        <v>245</v>
      </c>
      <c r="R3166" t="s">
        <v>580</v>
      </c>
    </row>
    <row r="3167" spans="1:18" x14ac:dyDescent="0.25">
      <c r="A3167" t="s">
        <v>416</v>
      </c>
      <c r="B3167" t="s">
        <v>85</v>
      </c>
      <c r="C3167" s="4">
        <v>5.4316418340642818E-2</v>
      </c>
      <c r="D3167" s="4">
        <v>5.4316418340642818E-2</v>
      </c>
      <c r="E3167" s="4">
        <v>5.4316418340642818E-2</v>
      </c>
      <c r="F3167" s="4">
        <v>5.4316418340642818E-2</v>
      </c>
      <c r="G3167" s="4">
        <v>5.4316418340642818E-2</v>
      </c>
      <c r="H3167" s="4">
        <v>5.4316418340642818E-2</v>
      </c>
      <c r="I3167" s="4">
        <v>5.4316418340642818E-2</v>
      </c>
      <c r="J3167" s="4">
        <v>5.4316418340642818E-2</v>
      </c>
      <c r="K3167" s="4">
        <v>5.4316418340642818E-2</v>
      </c>
      <c r="L3167" s="4">
        <v>5.4316418340642818E-2</v>
      </c>
      <c r="M3167" s="4">
        <v>5.4316418340642818E-2</v>
      </c>
      <c r="N3167" t="s">
        <v>256</v>
      </c>
      <c r="O3167" t="s">
        <v>417</v>
      </c>
      <c r="P3167" t="s">
        <v>416</v>
      </c>
      <c r="Q3167" t="s">
        <v>245</v>
      </c>
    </row>
    <row r="3168" spans="1:18" x14ac:dyDescent="0.25">
      <c r="A3168" t="s">
        <v>416</v>
      </c>
      <c r="B3168" t="s">
        <v>187</v>
      </c>
      <c r="C3168" s="4">
        <v>4.1924463907294532E-4</v>
      </c>
      <c r="D3168" s="4">
        <v>4.1924463907294532E-4</v>
      </c>
      <c r="E3168" s="4">
        <v>4.1924463907294532E-4</v>
      </c>
      <c r="F3168" s="4">
        <v>4.1924463907294532E-4</v>
      </c>
      <c r="G3168" s="4">
        <v>4.1924463907294532E-4</v>
      </c>
      <c r="H3168" s="4">
        <v>4.1924463907294532E-4</v>
      </c>
      <c r="I3168" s="4">
        <v>4.1924463907294532E-4</v>
      </c>
      <c r="J3168" s="4">
        <v>4.1924463907294532E-4</v>
      </c>
      <c r="K3168" s="4">
        <v>4.1924463907294532E-4</v>
      </c>
      <c r="L3168" s="4">
        <v>4.1924463907294532E-4</v>
      </c>
      <c r="M3168" s="4">
        <v>4.1924463907294532E-4</v>
      </c>
      <c r="N3168" t="s">
        <v>256</v>
      </c>
      <c r="O3168" t="s">
        <v>417</v>
      </c>
      <c r="P3168" t="s">
        <v>416</v>
      </c>
      <c r="Q3168" t="s">
        <v>245</v>
      </c>
    </row>
    <row r="3169" spans="1:17" x14ac:dyDescent="0.25">
      <c r="A3169" t="s">
        <v>416</v>
      </c>
      <c r="B3169" t="s">
        <v>86</v>
      </c>
      <c r="C3169" s="4">
        <v>0.29523338497466523</v>
      </c>
      <c r="D3169" s="4">
        <v>0.29523338497466523</v>
      </c>
      <c r="E3169" s="4">
        <v>0.29523338497466523</v>
      </c>
      <c r="F3169" s="4">
        <v>0.29523338497466523</v>
      </c>
      <c r="G3169" s="4">
        <v>0.29523338497466523</v>
      </c>
      <c r="H3169" s="4">
        <v>0.29523338497466523</v>
      </c>
      <c r="I3169" s="4">
        <v>0.29523338497466523</v>
      </c>
      <c r="J3169" s="4">
        <v>0.29523338497466523</v>
      </c>
      <c r="K3169" s="4">
        <v>0.29523338497466523</v>
      </c>
      <c r="L3169" s="4">
        <v>0.29523338497466523</v>
      </c>
      <c r="M3169" s="4">
        <v>0.29523338497466523</v>
      </c>
      <c r="N3169" t="s">
        <v>256</v>
      </c>
      <c r="O3169" t="s">
        <v>417</v>
      </c>
      <c r="P3169" t="s">
        <v>416</v>
      </c>
      <c r="Q3169" t="s">
        <v>245</v>
      </c>
    </row>
    <row r="3170" spans="1:17" x14ac:dyDescent="0.25">
      <c r="A3170" t="s">
        <v>416</v>
      </c>
      <c r="B3170" t="s">
        <v>87</v>
      </c>
      <c r="C3170" s="4">
        <v>2.0962231953647269E-5</v>
      </c>
      <c r="D3170" s="4">
        <v>2.0962231953647269E-5</v>
      </c>
      <c r="E3170" s="4">
        <v>2.0962231953647269E-5</v>
      </c>
      <c r="F3170" s="4">
        <v>2.0962231953647269E-5</v>
      </c>
      <c r="G3170" s="4">
        <v>2.0962231953647269E-5</v>
      </c>
      <c r="H3170" s="4">
        <v>2.0962231953647269E-5</v>
      </c>
      <c r="I3170" s="4">
        <v>2.0962231953647269E-5</v>
      </c>
      <c r="J3170" s="4">
        <v>2.0962231953647269E-5</v>
      </c>
      <c r="K3170" s="4">
        <v>2.0962231953647269E-5</v>
      </c>
      <c r="L3170" s="4">
        <v>2.0962231953647269E-5</v>
      </c>
      <c r="M3170" s="4">
        <v>2.0962231953647269E-5</v>
      </c>
      <c r="N3170" t="s">
        <v>256</v>
      </c>
      <c r="O3170" t="s">
        <v>417</v>
      </c>
      <c r="P3170" t="s">
        <v>416</v>
      </c>
      <c r="Q3170" t="s">
        <v>245</v>
      </c>
    </row>
    <row r="3171" spans="1:17" x14ac:dyDescent="0.25">
      <c r="A3171" t="s">
        <v>416</v>
      </c>
      <c r="B3171" t="s">
        <v>159</v>
      </c>
      <c r="C3171" s="4">
        <v>3.9502015977151167E-2</v>
      </c>
      <c r="D3171" s="4">
        <v>3.9502015977151167E-2</v>
      </c>
      <c r="E3171" s="4">
        <v>3.9502015977151167E-2</v>
      </c>
      <c r="F3171" s="4">
        <v>3.9502015977151167E-2</v>
      </c>
      <c r="G3171" s="4">
        <v>3.9502015977151167E-2</v>
      </c>
      <c r="H3171" s="4">
        <v>3.9502015977151167E-2</v>
      </c>
      <c r="I3171" s="4">
        <v>3.9502015977151167E-2</v>
      </c>
      <c r="J3171" s="4">
        <v>3.9502015977151167E-2</v>
      </c>
      <c r="K3171" s="4">
        <v>3.9502015977151167E-2</v>
      </c>
      <c r="L3171" s="4">
        <v>3.9502015977151167E-2</v>
      </c>
      <c r="M3171" s="4">
        <v>3.9502015977151167E-2</v>
      </c>
      <c r="N3171" t="s">
        <v>256</v>
      </c>
      <c r="O3171" t="s">
        <v>417</v>
      </c>
      <c r="P3171" t="s">
        <v>416</v>
      </c>
      <c r="Q3171" t="s">
        <v>245</v>
      </c>
    </row>
    <row r="3172" spans="1:17" x14ac:dyDescent="0.25">
      <c r="A3172" t="s">
        <v>416</v>
      </c>
      <c r="B3172" t="s">
        <v>97</v>
      </c>
      <c r="C3172" s="4">
        <v>2.7512929439162031E-5</v>
      </c>
      <c r="D3172" s="4">
        <v>2.7512929439162031E-5</v>
      </c>
      <c r="E3172" s="4">
        <v>2.7512929439162031E-5</v>
      </c>
      <c r="F3172" s="4">
        <v>2.7512929439162031E-5</v>
      </c>
      <c r="G3172" s="4">
        <v>2.7512929439162031E-5</v>
      </c>
      <c r="H3172" s="4">
        <v>2.7512929439162031E-5</v>
      </c>
      <c r="I3172" s="4">
        <v>2.7512929439162031E-5</v>
      </c>
      <c r="J3172" s="4">
        <v>2.7512929439162031E-5</v>
      </c>
      <c r="K3172" s="4">
        <v>2.7512929439162031E-5</v>
      </c>
      <c r="L3172" s="4">
        <v>2.7512929439162031E-5</v>
      </c>
      <c r="M3172" s="4">
        <v>2.7512929439162031E-5</v>
      </c>
      <c r="N3172" t="s">
        <v>256</v>
      </c>
      <c r="O3172" t="s">
        <v>417</v>
      </c>
      <c r="P3172" t="s">
        <v>416</v>
      </c>
      <c r="Q3172" t="s">
        <v>245</v>
      </c>
    </row>
    <row r="3173" spans="1:17" x14ac:dyDescent="0.25">
      <c r="A3173" t="s">
        <v>416</v>
      </c>
      <c r="B3173" t="s">
        <v>98</v>
      </c>
      <c r="C3173" s="4">
        <v>0.2275836769720056</v>
      </c>
      <c r="D3173" s="4">
        <v>0.2275836769720056</v>
      </c>
      <c r="E3173" s="4">
        <v>0.2275836769720056</v>
      </c>
      <c r="F3173" s="4">
        <v>0.2275836769720056</v>
      </c>
      <c r="G3173" s="4">
        <v>0.2275836769720056</v>
      </c>
      <c r="H3173" s="4">
        <v>0.2275836769720056</v>
      </c>
      <c r="I3173" s="4">
        <v>0.2275836769720056</v>
      </c>
      <c r="J3173" s="4">
        <v>0.2275836769720056</v>
      </c>
      <c r="K3173" s="4">
        <v>0.2275836769720056</v>
      </c>
      <c r="L3173" s="4">
        <v>0.2275836769720056</v>
      </c>
      <c r="M3173" s="4">
        <v>0.2275836769720056</v>
      </c>
      <c r="N3173" t="s">
        <v>256</v>
      </c>
      <c r="O3173" t="s">
        <v>417</v>
      </c>
      <c r="P3173" t="s">
        <v>416</v>
      </c>
      <c r="Q3173" t="s">
        <v>245</v>
      </c>
    </row>
    <row r="3174" spans="1:17" x14ac:dyDescent="0.25">
      <c r="A3174" t="s">
        <v>416</v>
      </c>
      <c r="B3174" t="s">
        <v>148</v>
      </c>
      <c r="C3174" s="4">
        <v>2.423758069640465E-5</v>
      </c>
      <c r="D3174" s="4">
        <v>2.423758069640465E-5</v>
      </c>
      <c r="E3174" s="4">
        <v>2.423758069640465E-5</v>
      </c>
      <c r="F3174" s="4">
        <v>2.423758069640465E-5</v>
      </c>
      <c r="G3174" s="4">
        <v>2.423758069640465E-5</v>
      </c>
      <c r="H3174" s="4">
        <v>2.423758069640465E-5</v>
      </c>
      <c r="I3174" s="4">
        <v>2.423758069640465E-5</v>
      </c>
      <c r="J3174" s="4">
        <v>2.423758069640465E-5</v>
      </c>
      <c r="K3174" s="4">
        <v>2.423758069640465E-5</v>
      </c>
      <c r="L3174" s="4">
        <v>2.423758069640465E-5</v>
      </c>
      <c r="M3174" s="4">
        <v>2.423758069640465E-5</v>
      </c>
      <c r="N3174" t="s">
        <v>256</v>
      </c>
      <c r="O3174" t="s">
        <v>417</v>
      </c>
      <c r="P3174" t="s">
        <v>416</v>
      </c>
      <c r="Q3174" t="s">
        <v>245</v>
      </c>
    </row>
    <row r="3175" spans="1:17" x14ac:dyDescent="0.25">
      <c r="A3175" t="s">
        <v>416</v>
      </c>
      <c r="B3175" t="s">
        <v>171</v>
      </c>
      <c r="C3175" s="4">
        <v>2.2436138887888088E-3</v>
      </c>
      <c r="D3175" s="4">
        <v>2.2436138887888088E-3</v>
      </c>
      <c r="E3175" s="4">
        <v>2.2436138887888088E-3</v>
      </c>
      <c r="F3175" s="4">
        <v>2.2436138887888088E-3</v>
      </c>
      <c r="G3175" s="4">
        <v>2.2436138887888088E-3</v>
      </c>
      <c r="H3175" s="4">
        <v>2.2436138887888088E-3</v>
      </c>
      <c r="I3175" s="4">
        <v>2.2436138887888088E-3</v>
      </c>
      <c r="J3175" s="4">
        <v>2.2436138887888088E-3</v>
      </c>
      <c r="K3175" s="4">
        <v>2.2436138887888088E-3</v>
      </c>
      <c r="L3175" s="4">
        <v>2.2436138887888088E-3</v>
      </c>
      <c r="M3175" s="4">
        <v>2.2436138887888088E-3</v>
      </c>
      <c r="N3175" t="s">
        <v>256</v>
      </c>
      <c r="O3175" t="s">
        <v>417</v>
      </c>
      <c r="P3175" t="s">
        <v>416</v>
      </c>
      <c r="Q3175" t="s">
        <v>245</v>
      </c>
    </row>
    <row r="3176" spans="1:17" x14ac:dyDescent="0.25">
      <c r="A3176" t="s">
        <v>416</v>
      </c>
      <c r="B3176" t="s">
        <v>103</v>
      </c>
      <c r="C3176" s="4">
        <v>1.136480506761958E-2</v>
      </c>
      <c r="D3176" s="4">
        <v>1.136480506761958E-2</v>
      </c>
      <c r="E3176" s="4">
        <v>1.136480506761958E-2</v>
      </c>
      <c r="F3176" s="4">
        <v>1.136480506761958E-2</v>
      </c>
      <c r="G3176" s="4">
        <v>1.136480506761958E-2</v>
      </c>
      <c r="H3176" s="4">
        <v>1.136480506761958E-2</v>
      </c>
      <c r="I3176" s="4">
        <v>1.136480506761958E-2</v>
      </c>
      <c r="J3176" s="4">
        <v>1.136480506761958E-2</v>
      </c>
      <c r="K3176" s="4">
        <v>1.136480506761958E-2</v>
      </c>
      <c r="L3176" s="4">
        <v>1.136480506761958E-2</v>
      </c>
      <c r="M3176" s="4">
        <v>1.136480506761958E-2</v>
      </c>
      <c r="N3176" t="s">
        <v>256</v>
      </c>
      <c r="O3176" t="s">
        <v>417</v>
      </c>
      <c r="P3176" t="s">
        <v>416</v>
      </c>
      <c r="Q3176" t="s">
        <v>245</v>
      </c>
    </row>
    <row r="3177" spans="1:17" x14ac:dyDescent="0.25">
      <c r="A3177" t="s">
        <v>416</v>
      </c>
      <c r="B3177" t="s">
        <v>173</v>
      </c>
      <c r="C3177" s="4">
        <v>7.336781183776542E-5</v>
      </c>
      <c r="D3177" s="4">
        <v>7.336781183776542E-5</v>
      </c>
      <c r="E3177" s="4">
        <v>7.336781183776542E-5</v>
      </c>
      <c r="F3177" s="4">
        <v>7.336781183776542E-5</v>
      </c>
      <c r="G3177" s="4">
        <v>7.336781183776542E-5</v>
      </c>
      <c r="H3177" s="4">
        <v>7.336781183776542E-5</v>
      </c>
      <c r="I3177" s="4">
        <v>7.336781183776542E-5</v>
      </c>
      <c r="J3177" s="4">
        <v>7.336781183776542E-5</v>
      </c>
      <c r="K3177" s="4">
        <v>7.336781183776542E-5</v>
      </c>
      <c r="L3177" s="4">
        <v>7.336781183776542E-5</v>
      </c>
      <c r="M3177" s="4">
        <v>7.336781183776542E-5</v>
      </c>
      <c r="N3177" t="s">
        <v>256</v>
      </c>
      <c r="O3177" t="s">
        <v>417</v>
      </c>
      <c r="P3177" t="s">
        <v>416</v>
      </c>
      <c r="Q3177" t="s">
        <v>245</v>
      </c>
    </row>
    <row r="3178" spans="1:17" x14ac:dyDescent="0.25">
      <c r="A3178" t="s">
        <v>416</v>
      </c>
      <c r="B3178" t="s">
        <v>174</v>
      </c>
      <c r="C3178" s="4">
        <v>0.15787180940090589</v>
      </c>
      <c r="D3178" s="4">
        <v>0.15787180940090589</v>
      </c>
      <c r="E3178" s="4">
        <v>0.15787180940090589</v>
      </c>
      <c r="F3178" s="4">
        <v>0.15787180940090589</v>
      </c>
      <c r="G3178" s="4">
        <v>0.15787180940090589</v>
      </c>
      <c r="H3178" s="4">
        <v>0.15787180940090589</v>
      </c>
      <c r="I3178" s="4">
        <v>0.15787180940090589</v>
      </c>
      <c r="J3178" s="4">
        <v>0.15787180940090589</v>
      </c>
      <c r="K3178" s="4">
        <v>0.15787180940090589</v>
      </c>
      <c r="L3178" s="4">
        <v>0.15787180940090589</v>
      </c>
      <c r="M3178" s="4">
        <v>0.15787180940090589</v>
      </c>
      <c r="N3178" t="s">
        <v>256</v>
      </c>
      <c r="O3178" t="s">
        <v>417</v>
      </c>
      <c r="P3178" t="s">
        <v>416</v>
      </c>
      <c r="Q3178" t="s">
        <v>245</v>
      </c>
    </row>
    <row r="3179" spans="1:17" x14ac:dyDescent="0.25">
      <c r="A3179" t="s">
        <v>416</v>
      </c>
      <c r="B3179" t="s">
        <v>175</v>
      </c>
      <c r="C3179" s="4">
        <v>4.9654286940201955E-4</v>
      </c>
      <c r="D3179" s="4">
        <v>4.9654286940201955E-4</v>
      </c>
      <c r="E3179" s="4">
        <v>4.9654286940201955E-4</v>
      </c>
      <c r="F3179" s="4">
        <v>4.9654286940201955E-4</v>
      </c>
      <c r="G3179" s="4">
        <v>4.9654286940201955E-4</v>
      </c>
      <c r="H3179" s="4">
        <v>4.9654286940201955E-4</v>
      </c>
      <c r="I3179" s="4">
        <v>4.9654286940201955E-4</v>
      </c>
      <c r="J3179" s="4">
        <v>4.9654286940201955E-4</v>
      </c>
      <c r="K3179" s="4">
        <v>4.9654286940201955E-4</v>
      </c>
      <c r="L3179" s="4">
        <v>4.9654286940201955E-4</v>
      </c>
      <c r="M3179" s="4">
        <v>4.9654286940201955E-4</v>
      </c>
      <c r="N3179" t="s">
        <v>256</v>
      </c>
      <c r="O3179" t="s">
        <v>417</v>
      </c>
      <c r="P3179" t="s">
        <v>416</v>
      </c>
      <c r="Q3179" t="s">
        <v>245</v>
      </c>
    </row>
    <row r="3180" spans="1:17" x14ac:dyDescent="0.25">
      <c r="A3180" t="s">
        <v>416</v>
      </c>
      <c r="B3180" t="s">
        <v>203</v>
      </c>
      <c r="C3180" s="4">
        <v>2.3743658105996841E-2</v>
      </c>
      <c r="D3180" s="4">
        <v>2.3743658105996841E-2</v>
      </c>
      <c r="E3180" s="4">
        <v>2.3743658105996841E-2</v>
      </c>
      <c r="F3180" s="4">
        <v>2.3743658105996841E-2</v>
      </c>
      <c r="G3180" s="4">
        <v>2.3743658105996841E-2</v>
      </c>
      <c r="H3180" s="4">
        <v>2.3743658105996841E-2</v>
      </c>
      <c r="I3180" s="4">
        <v>2.3743658105996841E-2</v>
      </c>
      <c r="J3180" s="4">
        <v>2.3743658105996841E-2</v>
      </c>
      <c r="K3180" s="4">
        <v>2.3743658105996841E-2</v>
      </c>
      <c r="L3180" s="4">
        <v>2.3743658105996841E-2</v>
      </c>
      <c r="M3180" s="4">
        <v>2.3743658105996841E-2</v>
      </c>
      <c r="N3180" t="s">
        <v>256</v>
      </c>
      <c r="O3180" t="s">
        <v>417</v>
      </c>
      <c r="P3180" t="s">
        <v>416</v>
      </c>
      <c r="Q3180" t="s">
        <v>245</v>
      </c>
    </row>
    <row r="3181" spans="1:17" x14ac:dyDescent="0.25">
      <c r="A3181" t="s">
        <v>416</v>
      </c>
      <c r="B3181" t="s">
        <v>146</v>
      </c>
      <c r="C3181" s="4">
        <v>6.8052575898018747E-2</v>
      </c>
      <c r="D3181" s="4">
        <v>6.8052575898018747E-2</v>
      </c>
      <c r="E3181" s="4">
        <v>6.8052575898018747E-2</v>
      </c>
      <c r="F3181" s="4">
        <v>6.8052575898018747E-2</v>
      </c>
      <c r="G3181" s="4">
        <v>6.8052575898018747E-2</v>
      </c>
      <c r="H3181" s="4">
        <v>6.8052575898018747E-2</v>
      </c>
      <c r="I3181" s="4">
        <v>6.8052575898018747E-2</v>
      </c>
      <c r="J3181" s="4">
        <v>6.8052575898018747E-2</v>
      </c>
      <c r="K3181" s="4">
        <v>6.8052575898018747E-2</v>
      </c>
      <c r="L3181" s="4">
        <v>6.8052575898018747E-2</v>
      </c>
      <c r="M3181" s="4">
        <v>6.8052575898018747E-2</v>
      </c>
      <c r="N3181" t="s">
        <v>256</v>
      </c>
      <c r="O3181" t="s">
        <v>417</v>
      </c>
      <c r="P3181" t="s">
        <v>416</v>
      </c>
      <c r="Q3181" t="s">
        <v>245</v>
      </c>
    </row>
    <row r="3182" spans="1:17" x14ac:dyDescent="0.25">
      <c r="A3182" t="s">
        <v>416</v>
      </c>
      <c r="B3182" t="s">
        <v>178</v>
      </c>
      <c r="C3182" s="4">
        <v>3.0395236332788532E-4</v>
      </c>
      <c r="D3182" s="4">
        <v>3.0395236332788532E-4</v>
      </c>
      <c r="E3182" s="4">
        <v>3.0395236332788532E-4</v>
      </c>
      <c r="F3182" s="4">
        <v>3.0395236332788532E-4</v>
      </c>
      <c r="G3182" s="4">
        <v>3.0395236332788532E-4</v>
      </c>
      <c r="H3182" s="4">
        <v>3.0395236332788532E-4</v>
      </c>
      <c r="I3182" s="4">
        <v>3.0395236332788532E-4</v>
      </c>
      <c r="J3182" s="4">
        <v>3.0395236332788532E-4</v>
      </c>
      <c r="K3182" s="4">
        <v>3.0395236332788532E-4</v>
      </c>
      <c r="L3182" s="4">
        <v>3.0395236332788532E-4</v>
      </c>
      <c r="M3182" s="4">
        <v>3.0395236332788532E-4</v>
      </c>
      <c r="N3182" t="s">
        <v>256</v>
      </c>
      <c r="O3182" t="s">
        <v>417</v>
      </c>
      <c r="P3182" t="s">
        <v>416</v>
      </c>
      <c r="Q3182" t="s">
        <v>245</v>
      </c>
    </row>
    <row r="3183" spans="1:17" x14ac:dyDescent="0.25">
      <c r="A3183" t="s">
        <v>416</v>
      </c>
      <c r="B3183" t="s">
        <v>107</v>
      </c>
      <c r="C3183" s="4">
        <v>6.8513745000998976E-3</v>
      </c>
      <c r="D3183" s="4">
        <v>6.8513745000998976E-3</v>
      </c>
      <c r="E3183" s="4">
        <v>6.8513745000998976E-3</v>
      </c>
      <c r="F3183" s="4">
        <v>6.8513745000998976E-3</v>
      </c>
      <c r="G3183" s="4">
        <v>6.8513745000998976E-3</v>
      </c>
      <c r="H3183" s="4">
        <v>6.8513745000998976E-3</v>
      </c>
      <c r="I3183" s="4">
        <v>6.8513745000998976E-3</v>
      </c>
      <c r="J3183" s="4">
        <v>6.8513745000998976E-3</v>
      </c>
      <c r="K3183" s="4">
        <v>6.8513745000998976E-3</v>
      </c>
      <c r="L3183" s="4">
        <v>6.8513745000998976E-3</v>
      </c>
      <c r="M3183" s="4">
        <v>6.8513745000998976E-3</v>
      </c>
      <c r="N3183" t="s">
        <v>256</v>
      </c>
      <c r="O3183" t="s">
        <v>417</v>
      </c>
      <c r="P3183" t="s">
        <v>416</v>
      </c>
      <c r="Q3183" t="s">
        <v>245</v>
      </c>
    </row>
    <row r="3184" spans="1:17" x14ac:dyDescent="0.25">
      <c r="A3184" t="s">
        <v>416</v>
      </c>
      <c r="B3184" t="s">
        <v>204</v>
      </c>
      <c r="C3184" s="4">
        <v>8.0940418131020507E-3</v>
      </c>
      <c r="D3184" s="4">
        <v>8.0940418131020507E-3</v>
      </c>
      <c r="E3184" s="4">
        <v>8.0940418131020507E-3</v>
      </c>
      <c r="F3184" s="4">
        <v>8.0940418131020507E-3</v>
      </c>
      <c r="G3184" s="4">
        <v>8.0940418131020507E-3</v>
      </c>
      <c r="H3184" s="4">
        <v>8.0940418131020507E-3</v>
      </c>
      <c r="I3184" s="4">
        <v>8.0940418131020507E-3</v>
      </c>
      <c r="J3184" s="4">
        <v>8.0940418131020507E-3</v>
      </c>
      <c r="K3184" s="4">
        <v>8.0940418131020507E-3</v>
      </c>
      <c r="L3184" s="4">
        <v>8.0940418131020507E-3</v>
      </c>
      <c r="M3184" s="4">
        <v>8.0940418131020507E-3</v>
      </c>
      <c r="N3184" t="s">
        <v>256</v>
      </c>
      <c r="O3184" t="s">
        <v>417</v>
      </c>
      <c r="P3184" t="s">
        <v>416</v>
      </c>
      <c r="Q3184" t="s">
        <v>245</v>
      </c>
    </row>
    <row r="3185" spans="1:18" x14ac:dyDescent="0.25">
      <c r="A3185" t="s">
        <v>416</v>
      </c>
      <c r="B3185" t="s">
        <v>121</v>
      </c>
      <c r="C3185" s="4">
        <v>3.5373766421779759E-4</v>
      </c>
      <c r="D3185" s="4">
        <v>3.5373766421779759E-4</v>
      </c>
      <c r="E3185" s="4">
        <v>3.5373766421779759E-4</v>
      </c>
      <c r="F3185" s="4">
        <v>3.5373766421779759E-4</v>
      </c>
      <c r="G3185" s="4">
        <v>3.5373766421779759E-4</v>
      </c>
      <c r="H3185" s="4">
        <v>3.5373766421779759E-4</v>
      </c>
      <c r="I3185" s="4">
        <v>3.5373766421779759E-4</v>
      </c>
      <c r="J3185" s="4">
        <v>3.5373766421779759E-4</v>
      </c>
      <c r="K3185" s="4">
        <v>3.5373766421779759E-4</v>
      </c>
      <c r="L3185" s="4">
        <v>3.5373766421779759E-4</v>
      </c>
      <c r="M3185" s="4">
        <v>3.5373766421779759E-4</v>
      </c>
      <c r="N3185" t="s">
        <v>256</v>
      </c>
      <c r="O3185" t="s">
        <v>417</v>
      </c>
      <c r="P3185" t="s">
        <v>416</v>
      </c>
      <c r="Q3185" t="s">
        <v>245</v>
      </c>
    </row>
    <row r="3186" spans="1:18" x14ac:dyDescent="0.25">
      <c r="A3186" t="s">
        <v>416</v>
      </c>
      <c r="B3186" t="s">
        <v>111</v>
      </c>
      <c r="C3186" s="4">
        <v>1.8669487833717101E-4</v>
      </c>
      <c r="D3186" s="4">
        <v>1.8669487833717101E-4</v>
      </c>
      <c r="E3186" s="4">
        <v>1.8669487833717101E-4</v>
      </c>
      <c r="F3186" s="4">
        <v>1.8669487833717101E-4</v>
      </c>
      <c r="G3186" s="4">
        <v>1.8669487833717101E-4</v>
      </c>
      <c r="H3186" s="4">
        <v>1.8669487833717101E-4</v>
      </c>
      <c r="I3186" s="4">
        <v>1.8669487833717101E-4</v>
      </c>
      <c r="J3186" s="4">
        <v>1.8669487833717101E-4</v>
      </c>
      <c r="K3186" s="4">
        <v>1.8669487833717101E-4</v>
      </c>
      <c r="L3186" s="4">
        <v>1.8669487833717101E-4</v>
      </c>
      <c r="M3186" s="4">
        <v>1.8669487833717101E-4</v>
      </c>
      <c r="N3186" t="s">
        <v>256</v>
      </c>
      <c r="O3186" t="s">
        <v>417</v>
      </c>
      <c r="P3186" t="s">
        <v>416</v>
      </c>
      <c r="Q3186" t="s">
        <v>245</v>
      </c>
    </row>
    <row r="3187" spans="1:18" x14ac:dyDescent="0.25">
      <c r="A3187" t="s">
        <v>416</v>
      </c>
      <c r="B3187" t="s">
        <v>215</v>
      </c>
      <c r="C3187" s="4">
        <v>5.5287886777744661E-4</v>
      </c>
      <c r="D3187" s="4">
        <v>5.5287886777744661E-4</v>
      </c>
      <c r="E3187" s="4">
        <v>5.5287886777744661E-4</v>
      </c>
      <c r="F3187" s="4">
        <v>5.5287886777744661E-4</v>
      </c>
      <c r="G3187" s="4">
        <v>5.5287886777744661E-4</v>
      </c>
      <c r="H3187" s="4">
        <v>5.5287886777744661E-4</v>
      </c>
      <c r="I3187" s="4">
        <v>5.5287886777744661E-4</v>
      </c>
      <c r="J3187" s="4">
        <v>5.5287886777744661E-4</v>
      </c>
      <c r="K3187" s="4">
        <v>5.5287886777744661E-4</v>
      </c>
      <c r="L3187" s="4">
        <v>5.5287886777744661E-4</v>
      </c>
      <c r="M3187" s="4">
        <v>5.5287886777744661E-4</v>
      </c>
      <c r="N3187" t="s">
        <v>256</v>
      </c>
      <c r="O3187" t="s">
        <v>417</v>
      </c>
      <c r="P3187" t="s">
        <v>416</v>
      </c>
      <c r="Q3187" t="s">
        <v>245</v>
      </c>
    </row>
    <row r="3188" spans="1:18" x14ac:dyDescent="0.25">
      <c r="A3188" t="s">
        <v>416</v>
      </c>
      <c r="B3188" t="s">
        <v>142</v>
      </c>
      <c r="C3188" s="4">
        <v>8.7779346305897927E-5</v>
      </c>
      <c r="D3188" s="4">
        <v>8.7779346305897927E-5</v>
      </c>
      <c r="E3188" s="4">
        <v>8.7779346305897927E-5</v>
      </c>
      <c r="F3188" s="4">
        <v>8.7779346305897927E-5</v>
      </c>
      <c r="G3188" s="4">
        <v>8.7779346305897927E-5</v>
      </c>
      <c r="H3188" s="4">
        <v>8.7779346305897927E-5</v>
      </c>
      <c r="I3188" s="4">
        <v>8.7779346305897927E-5</v>
      </c>
      <c r="J3188" s="4">
        <v>8.7779346305897927E-5</v>
      </c>
      <c r="K3188" s="4">
        <v>8.7779346305897927E-5</v>
      </c>
      <c r="L3188" s="4">
        <v>8.7779346305897927E-5</v>
      </c>
      <c r="M3188" s="4">
        <v>8.7779346305897927E-5</v>
      </c>
      <c r="N3188" t="s">
        <v>256</v>
      </c>
      <c r="O3188" t="s">
        <v>417</v>
      </c>
      <c r="P3188" t="s">
        <v>416</v>
      </c>
      <c r="Q3188" t="s">
        <v>245</v>
      </c>
    </row>
    <row r="3189" spans="1:18" x14ac:dyDescent="0.25">
      <c r="A3189" t="s">
        <v>416</v>
      </c>
      <c r="B3189" t="s">
        <v>140</v>
      </c>
      <c r="C3189" s="4">
        <v>3.1770882804746641E-4</v>
      </c>
      <c r="D3189" s="4">
        <v>3.1770882804746641E-4</v>
      </c>
      <c r="E3189" s="4">
        <v>3.1770882804746641E-4</v>
      </c>
      <c r="F3189" s="4">
        <v>3.1770882804746641E-4</v>
      </c>
      <c r="G3189" s="4">
        <v>3.1770882804746641E-4</v>
      </c>
      <c r="H3189" s="4">
        <v>3.1770882804746641E-4</v>
      </c>
      <c r="I3189" s="4">
        <v>3.1770882804746641E-4</v>
      </c>
      <c r="J3189" s="4">
        <v>3.1770882804746641E-4</v>
      </c>
      <c r="K3189" s="4">
        <v>3.1770882804746641E-4</v>
      </c>
      <c r="L3189" s="4">
        <v>3.1770882804746641E-4</v>
      </c>
      <c r="M3189" s="4">
        <v>3.1770882804746641E-4</v>
      </c>
      <c r="N3189" t="s">
        <v>256</v>
      </c>
      <c r="O3189" t="s">
        <v>417</v>
      </c>
      <c r="P3189" t="s">
        <v>416</v>
      </c>
      <c r="Q3189" t="s">
        <v>245</v>
      </c>
    </row>
    <row r="3190" spans="1:18" x14ac:dyDescent="0.25">
      <c r="A3190" t="s">
        <v>416</v>
      </c>
      <c r="B3190" t="s">
        <v>115</v>
      </c>
      <c r="C3190" s="4">
        <v>1.9725460268382081E-2</v>
      </c>
      <c r="D3190" s="4">
        <v>1.9725460268382081E-2</v>
      </c>
      <c r="E3190" s="4">
        <v>1.9725460268382081E-2</v>
      </c>
      <c r="F3190" s="4">
        <v>1.9725460268382081E-2</v>
      </c>
      <c r="G3190" s="4">
        <v>1.9725460268382081E-2</v>
      </c>
      <c r="H3190" s="4">
        <v>1.9725460268382081E-2</v>
      </c>
      <c r="I3190" s="4">
        <v>1.9725460268382081E-2</v>
      </c>
      <c r="J3190" s="4">
        <v>1.9725460268382081E-2</v>
      </c>
      <c r="K3190" s="4">
        <v>1.9725460268382081E-2</v>
      </c>
      <c r="L3190" s="4">
        <v>1.9725460268382081E-2</v>
      </c>
      <c r="M3190" s="4">
        <v>1.9725460268382081E-2</v>
      </c>
      <c r="N3190" t="s">
        <v>256</v>
      </c>
      <c r="O3190" t="s">
        <v>417</v>
      </c>
      <c r="P3190" t="s">
        <v>416</v>
      </c>
      <c r="Q3190" t="s">
        <v>245</v>
      </c>
    </row>
    <row r="3191" spans="1:18" x14ac:dyDescent="0.25">
      <c r="A3191" t="s">
        <v>420</v>
      </c>
      <c r="B3191" t="s">
        <v>83</v>
      </c>
      <c r="C3191" s="4">
        <v>2.0758060778743739E-4</v>
      </c>
      <c r="D3191" s="4">
        <v>2.0758060778743739E-4</v>
      </c>
      <c r="E3191" s="4">
        <v>2.0758060778743739E-4</v>
      </c>
      <c r="F3191" s="4">
        <v>2.0758060778743739E-4</v>
      </c>
      <c r="G3191" s="4">
        <v>2.0758060778743739E-4</v>
      </c>
      <c r="H3191" s="4">
        <v>2.0758060778743739E-4</v>
      </c>
      <c r="I3191" s="4">
        <v>2.0758060778743739E-4</v>
      </c>
      <c r="J3191" s="4">
        <v>2.0758060778743739E-4</v>
      </c>
      <c r="K3191" s="4">
        <v>2.0758060778743739E-4</v>
      </c>
      <c r="L3191" s="4">
        <v>2.0758060778743739E-4</v>
      </c>
      <c r="M3191" s="4">
        <v>2.0758060778743739E-4</v>
      </c>
      <c r="N3191" t="s">
        <v>256</v>
      </c>
      <c r="O3191" t="s">
        <v>419</v>
      </c>
      <c r="P3191" t="s">
        <v>420</v>
      </c>
      <c r="Q3191" t="s">
        <v>245</v>
      </c>
      <c r="R3191" t="s">
        <v>581</v>
      </c>
    </row>
    <row r="3192" spans="1:18" x14ac:dyDescent="0.25">
      <c r="A3192" t="s">
        <v>420</v>
      </c>
      <c r="B3192" t="s">
        <v>163</v>
      </c>
      <c r="C3192" s="4">
        <v>2.5346825894044848E-2</v>
      </c>
      <c r="D3192" s="4">
        <v>2.5346825894044848E-2</v>
      </c>
      <c r="E3192" s="4">
        <v>2.5346825894044848E-2</v>
      </c>
      <c r="F3192" s="4">
        <v>2.5346825894044848E-2</v>
      </c>
      <c r="G3192" s="4">
        <v>2.5346825894044848E-2</v>
      </c>
      <c r="H3192" s="4">
        <v>2.5346825894044848E-2</v>
      </c>
      <c r="I3192" s="4">
        <v>2.5346825894044848E-2</v>
      </c>
      <c r="J3192" s="4">
        <v>2.5346825894044848E-2</v>
      </c>
      <c r="K3192" s="4">
        <v>2.5346825894044848E-2</v>
      </c>
      <c r="L3192" s="4">
        <v>2.5346825894044848E-2</v>
      </c>
      <c r="M3192" s="4">
        <v>2.5346825894044848E-2</v>
      </c>
      <c r="N3192" t="s">
        <v>256</v>
      </c>
      <c r="O3192" t="s">
        <v>419</v>
      </c>
      <c r="P3192" t="s">
        <v>420</v>
      </c>
      <c r="Q3192" t="s">
        <v>245</v>
      </c>
    </row>
    <row r="3193" spans="1:18" x14ac:dyDescent="0.25">
      <c r="A3193" t="s">
        <v>420</v>
      </c>
      <c r="B3193" t="s">
        <v>144</v>
      </c>
      <c r="C3193" s="4">
        <v>3.9714944087331901E-2</v>
      </c>
      <c r="D3193" s="4">
        <v>3.9714944087331901E-2</v>
      </c>
      <c r="E3193" s="4">
        <v>3.9714944087331901E-2</v>
      </c>
      <c r="F3193" s="4">
        <v>3.9714944087331901E-2</v>
      </c>
      <c r="G3193" s="4">
        <v>3.9714944087331901E-2</v>
      </c>
      <c r="H3193" s="4">
        <v>3.9714944087331901E-2</v>
      </c>
      <c r="I3193" s="4">
        <v>3.9714944087331901E-2</v>
      </c>
      <c r="J3193" s="4">
        <v>3.9714944087331901E-2</v>
      </c>
      <c r="K3193" s="4">
        <v>3.9714944087331901E-2</v>
      </c>
      <c r="L3193" s="4">
        <v>3.9714944087331901E-2</v>
      </c>
      <c r="M3193" s="4">
        <v>3.9714944087331901E-2</v>
      </c>
      <c r="N3193" t="s">
        <v>256</v>
      </c>
      <c r="O3193" t="s">
        <v>419</v>
      </c>
      <c r="P3193" t="s">
        <v>420</v>
      </c>
      <c r="Q3193" t="s">
        <v>245</v>
      </c>
    </row>
    <row r="3194" spans="1:18" x14ac:dyDescent="0.25">
      <c r="A3194" t="s">
        <v>420</v>
      </c>
      <c r="B3194" t="s">
        <v>85</v>
      </c>
      <c r="C3194" s="4">
        <v>4.0228799958805711E-2</v>
      </c>
      <c r="D3194" s="4">
        <v>4.0228799958805711E-2</v>
      </c>
      <c r="E3194" s="4">
        <v>4.0228799958805711E-2</v>
      </c>
      <c r="F3194" s="4">
        <v>4.0228799958805711E-2</v>
      </c>
      <c r="G3194" s="4">
        <v>4.0228799958805711E-2</v>
      </c>
      <c r="H3194" s="4">
        <v>4.0228799958805711E-2</v>
      </c>
      <c r="I3194" s="4">
        <v>4.0228799958805711E-2</v>
      </c>
      <c r="J3194" s="4">
        <v>4.0228799958805711E-2</v>
      </c>
      <c r="K3194" s="4">
        <v>4.0228799958805711E-2</v>
      </c>
      <c r="L3194" s="4">
        <v>4.0228799958805711E-2</v>
      </c>
      <c r="M3194" s="4">
        <v>4.0228799958805711E-2</v>
      </c>
      <c r="N3194" t="s">
        <v>256</v>
      </c>
      <c r="O3194" t="s">
        <v>419</v>
      </c>
      <c r="P3194" t="s">
        <v>420</v>
      </c>
      <c r="Q3194" t="s">
        <v>245</v>
      </c>
    </row>
    <row r="3195" spans="1:18" x14ac:dyDescent="0.25">
      <c r="A3195" t="s">
        <v>420</v>
      </c>
      <c r="B3195" t="s">
        <v>86</v>
      </c>
      <c r="C3195" s="4">
        <v>0.50526139065061237</v>
      </c>
      <c r="D3195" s="4">
        <v>0.50526139065061237</v>
      </c>
      <c r="E3195" s="4">
        <v>0.50526139065061237</v>
      </c>
      <c r="F3195" s="4">
        <v>0.50526139065061237</v>
      </c>
      <c r="G3195" s="4">
        <v>0.50526139065061237</v>
      </c>
      <c r="H3195" s="4">
        <v>0.50526139065061237</v>
      </c>
      <c r="I3195" s="4">
        <v>0.50526139065061237</v>
      </c>
      <c r="J3195" s="4">
        <v>0.50526139065061237</v>
      </c>
      <c r="K3195" s="4">
        <v>0.50526139065061237</v>
      </c>
      <c r="L3195" s="4">
        <v>0.50526139065061237</v>
      </c>
      <c r="M3195" s="4">
        <v>0.50526139065061237</v>
      </c>
      <c r="N3195" t="s">
        <v>256</v>
      </c>
      <c r="O3195" t="s">
        <v>419</v>
      </c>
      <c r="P3195" t="s">
        <v>420</v>
      </c>
      <c r="Q3195" t="s">
        <v>245</v>
      </c>
    </row>
    <row r="3196" spans="1:18" x14ac:dyDescent="0.25">
      <c r="A3196" t="s">
        <v>420</v>
      </c>
      <c r="B3196" t="s">
        <v>97</v>
      </c>
      <c r="C3196" s="4">
        <v>1.1264063988465599E-5</v>
      </c>
      <c r="D3196" s="4">
        <v>1.1264063988465599E-5</v>
      </c>
      <c r="E3196" s="4">
        <v>1.1264063988465599E-5</v>
      </c>
      <c r="F3196" s="4">
        <v>1.1264063988465599E-5</v>
      </c>
      <c r="G3196" s="4">
        <v>1.1264063988465599E-5</v>
      </c>
      <c r="H3196" s="4">
        <v>1.1264063988465599E-5</v>
      </c>
      <c r="I3196" s="4">
        <v>1.1264063988465599E-5</v>
      </c>
      <c r="J3196" s="4">
        <v>1.1264063988465599E-5</v>
      </c>
      <c r="K3196" s="4">
        <v>1.1264063988465599E-5</v>
      </c>
      <c r="L3196" s="4">
        <v>1.1264063988465599E-5</v>
      </c>
      <c r="M3196" s="4">
        <v>1.1264063988465599E-5</v>
      </c>
      <c r="N3196" t="s">
        <v>256</v>
      </c>
      <c r="O3196" t="s">
        <v>419</v>
      </c>
      <c r="P3196" t="s">
        <v>420</v>
      </c>
      <c r="Q3196" t="s">
        <v>245</v>
      </c>
    </row>
    <row r="3197" spans="1:18" x14ac:dyDescent="0.25">
      <c r="A3197" t="s">
        <v>420</v>
      </c>
      <c r="B3197" t="s">
        <v>98</v>
      </c>
      <c r="C3197" s="4">
        <v>0.1977454707735086</v>
      </c>
      <c r="D3197" s="4">
        <v>0.1977454707735086</v>
      </c>
      <c r="E3197" s="4">
        <v>0.1977454707735086</v>
      </c>
      <c r="F3197" s="4">
        <v>0.1977454707735086</v>
      </c>
      <c r="G3197" s="4">
        <v>0.1977454707735086</v>
      </c>
      <c r="H3197" s="4">
        <v>0.1977454707735086</v>
      </c>
      <c r="I3197" s="4">
        <v>0.1977454707735086</v>
      </c>
      <c r="J3197" s="4">
        <v>0.1977454707735086</v>
      </c>
      <c r="K3197" s="4">
        <v>0.1977454707735086</v>
      </c>
      <c r="L3197" s="4">
        <v>0.1977454707735086</v>
      </c>
      <c r="M3197" s="4">
        <v>0.1977454707735086</v>
      </c>
      <c r="N3197" t="s">
        <v>256</v>
      </c>
      <c r="O3197" t="s">
        <v>419</v>
      </c>
      <c r="P3197" t="s">
        <v>420</v>
      </c>
      <c r="Q3197" t="s">
        <v>245</v>
      </c>
    </row>
    <row r="3198" spans="1:18" x14ac:dyDescent="0.25">
      <c r="A3198" t="s">
        <v>420</v>
      </c>
      <c r="B3198" t="s">
        <v>119</v>
      </c>
      <c r="C3198" s="4">
        <v>4.4021034834922463E-3</v>
      </c>
      <c r="D3198" s="4">
        <v>4.4021034834922463E-3</v>
      </c>
      <c r="E3198" s="4">
        <v>4.4021034834922463E-3</v>
      </c>
      <c r="F3198" s="4">
        <v>4.4021034834922463E-3</v>
      </c>
      <c r="G3198" s="4">
        <v>4.4021034834922463E-3</v>
      </c>
      <c r="H3198" s="4">
        <v>4.4021034834922463E-3</v>
      </c>
      <c r="I3198" s="4">
        <v>4.4021034834922463E-3</v>
      </c>
      <c r="J3198" s="4">
        <v>4.4021034834922463E-3</v>
      </c>
      <c r="K3198" s="4">
        <v>4.4021034834922463E-3</v>
      </c>
      <c r="L3198" s="4">
        <v>4.4021034834922463E-3</v>
      </c>
      <c r="M3198" s="4">
        <v>4.4021034834922463E-3</v>
      </c>
      <c r="N3198" t="s">
        <v>256</v>
      </c>
      <c r="O3198" t="s">
        <v>419</v>
      </c>
      <c r="P3198" t="s">
        <v>420</v>
      </c>
      <c r="Q3198" t="s">
        <v>245</v>
      </c>
    </row>
    <row r="3199" spans="1:18" x14ac:dyDescent="0.25">
      <c r="A3199" t="s">
        <v>420</v>
      </c>
      <c r="B3199" t="s">
        <v>103</v>
      </c>
      <c r="C3199" s="4">
        <v>6.3804485886664208E-2</v>
      </c>
      <c r="D3199" s="4">
        <v>6.3804485886664208E-2</v>
      </c>
      <c r="E3199" s="4">
        <v>6.3804485886664208E-2</v>
      </c>
      <c r="F3199" s="4">
        <v>6.3804485886664208E-2</v>
      </c>
      <c r="G3199" s="4">
        <v>6.3804485886664208E-2</v>
      </c>
      <c r="H3199" s="4">
        <v>6.3804485886664208E-2</v>
      </c>
      <c r="I3199" s="4">
        <v>6.3804485886664208E-2</v>
      </c>
      <c r="J3199" s="4">
        <v>6.3804485886664208E-2</v>
      </c>
      <c r="K3199" s="4">
        <v>6.3804485886664208E-2</v>
      </c>
      <c r="L3199" s="4">
        <v>6.3804485886664208E-2</v>
      </c>
      <c r="M3199" s="4">
        <v>6.3804485886664208E-2</v>
      </c>
      <c r="N3199" t="s">
        <v>256</v>
      </c>
      <c r="O3199" t="s">
        <v>419</v>
      </c>
      <c r="P3199" t="s">
        <v>420</v>
      </c>
      <c r="Q3199" t="s">
        <v>245</v>
      </c>
    </row>
    <row r="3200" spans="1:18" x14ac:dyDescent="0.25">
      <c r="A3200" t="s">
        <v>420</v>
      </c>
      <c r="B3200" t="s">
        <v>146</v>
      </c>
      <c r="C3200" s="4">
        <v>5.4307807176388813E-2</v>
      </c>
      <c r="D3200" s="4">
        <v>5.4307807176388813E-2</v>
      </c>
      <c r="E3200" s="4">
        <v>5.4307807176388813E-2</v>
      </c>
      <c r="F3200" s="4">
        <v>5.4307807176388813E-2</v>
      </c>
      <c r="G3200" s="4">
        <v>5.4307807176388813E-2</v>
      </c>
      <c r="H3200" s="4">
        <v>5.4307807176388813E-2</v>
      </c>
      <c r="I3200" s="4">
        <v>5.4307807176388813E-2</v>
      </c>
      <c r="J3200" s="4">
        <v>5.4307807176388813E-2</v>
      </c>
      <c r="K3200" s="4">
        <v>5.4307807176388813E-2</v>
      </c>
      <c r="L3200" s="4">
        <v>5.4307807176388813E-2</v>
      </c>
      <c r="M3200" s="4">
        <v>5.4307807176388813E-2</v>
      </c>
      <c r="N3200" t="s">
        <v>256</v>
      </c>
      <c r="O3200" t="s">
        <v>419</v>
      </c>
      <c r="P3200" t="s">
        <v>420</v>
      </c>
      <c r="Q3200" t="s">
        <v>245</v>
      </c>
    </row>
    <row r="3201" spans="1:18" x14ac:dyDescent="0.25">
      <c r="A3201" t="s">
        <v>420</v>
      </c>
      <c r="B3201" t="s">
        <v>151</v>
      </c>
      <c r="C3201" s="4">
        <v>1.063542194110933E-2</v>
      </c>
      <c r="D3201" s="4">
        <v>1.063542194110933E-2</v>
      </c>
      <c r="E3201" s="4">
        <v>1.063542194110933E-2</v>
      </c>
      <c r="F3201" s="4">
        <v>1.063542194110933E-2</v>
      </c>
      <c r="G3201" s="4">
        <v>1.063542194110933E-2</v>
      </c>
      <c r="H3201" s="4">
        <v>1.063542194110933E-2</v>
      </c>
      <c r="I3201" s="4">
        <v>1.063542194110933E-2</v>
      </c>
      <c r="J3201" s="4">
        <v>1.063542194110933E-2</v>
      </c>
      <c r="K3201" s="4">
        <v>1.063542194110933E-2</v>
      </c>
      <c r="L3201" s="4">
        <v>1.063542194110933E-2</v>
      </c>
      <c r="M3201" s="4">
        <v>1.063542194110933E-2</v>
      </c>
      <c r="N3201" t="s">
        <v>256</v>
      </c>
      <c r="O3201" t="s">
        <v>419</v>
      </c>
      <c r="P3201" t="s">
        <v>420</v>
      </c>
      <c r="Q3201" t="s">
        <v>245</v>
      </c>
    </row>
    <row r="3202" spans="1:18" x14ac:dyDescent="0.25">
      <c r="A3202" t="s">
        <v>420</v>
      </c>
      <c r="B3202" t="s">
        <v>107</v>
      </c>
      <c r="C3202" s="4">
        <v>3.5937727963199768E-3</v>
      </c>
      <c r="D3202" s="4">
        <v>3.5937727963199768E-3</v>
      </c>
      <c r="E3202" s="4">
        <v>3.5937727963199768E-3</v>
      </c>
      <c r="F3202" s="4">
        <v>3.5937727963199768E-3</v>
      </c>
      <c r="G3202" s="4">
        <v>3.5937727963199768E-3</v>
      </c>
      <c r="H3202" s="4">
        <v>3.5937727963199768E-3</v>
      </c>
      <c r="I3202" s="4">
        <v>3.5937727963199768E-3</v>
      </c>
      <c r="J3202" s="4">
        <v>3.5937727963199768E-3</v>
      </c>
      <c r="K3202" s="4">
        <v>3.5937727963199768E-3</v>
      </c>
      <c r="L3202" s="4">
        <v>3.5937727963199768E-3</v>
      </c>
      <c r="M3202" s="4">
        <v>3.5937727963199768E-3</v>
      </c>
      <c r="N3202" t="s">
        <v>256</v>
      </c>
      <c r="O3202" t="s">
        <v>419</v>
      </c>
      <c r="P3202" t="s">
        <v>420</v>
      </c>
      <c r="Q3202" t="s">
        <v>245</v>
      </c>
    </row>
    <row r="3203" spans="1:18" x14ac:dyDescent="0.25">
      <c r="A3203" t="s">
        <v>420</v>
      </c>
      <c r="B3203" t="s">
        <v>204</v>
      </c>
      <c r="C3203" s="4">
        <v>1.609151998352228E-3</v>
      </c>
      <c r="D3203" s="4">
        <v>1.609151998352228E-3</v>
      </c>
      <c r="E3203" s="4">
        <v>1.609151998352228E-3</v>
      </c>
      <c r="F3203" s="4">
        <v>1.609151998352228E-3</v>
      </c>
      <c r="G3203" s="4">
        <v>1.609151998352228E-3</v>
      </c>
      <c r="H3203" s="4">
        <v>1.609151998352228E-3</v>
      </c>
      <c r="I3203" s="4">
        <v>1.609151998352228E-3</v>
      </c>
      <c r="J3203" s="4">
        <v>1.609151998352228E-3</v>
      </c>
      <c r="K3203" s="4">
        <v>1.609151998352228E-3</v>
      </c>
      <c r="L3203" s="4">
        <v>1.609151998352228E-3</v>
      </c>
      <c r="M3203" s="4">
        <v>1.609151998352228E-3</v>
      </c>
      <c r="N3203" t="s">
        <v>256</v>
      </c>
      <c r="O3203" t="s">
        <v>419</v>
      </c>
      <c r="P3203" t="s">
        <v>420</v>
      </c>
      <c r="Q3203" t="s">
        <v>245</v>
      </c>
    </row>
    <row r="3204" spans="1:18" x14ac:dyDescent="0.25">
      <c r="A3204" t="s">
        <v>420</v>
      </c>
      <c r="B3204" t="s">
        <v>208</v>
      </c>
      <c r="C3204" s="4">
        <v>9.1721663906077014E-3</v>
      </c>
      <c r="D3204" s="4">
        <v>9.1721663906077014E-3</v>
      </c>
      <c r="E3204" s="4">
        <v>9.1721663906077014E-3</v>
      </c>
      <c r="F3204" s="4">
        <v>9.1721663906077014E-3</v>
      </c>
      <c r="G3204" s="4">
        <v>9.1721663906077014E-3</v>
      </c>
      <c r="H3204" s="4">
        <v>9.1721663906077014E-3</v>
      </c>
      <c r="I3204" s="4">
        <v>9.1721663906077014E-3</v>
      </c>
      <c r="J3204" s="4">
        <v>9.1721663906077014E-3</v>
      </c>
      <c r="K3204" s="4">
        <v>9.1721663906077014E-3</v>
      </c>
      <c r="L3204" s="4">
        <v>9.1721663906077014E-3</v>
      </c>
      <c r="M3204" s="4">
        <v>9.1721663906077014E-3</v>
      </c>
      <c r="N3204" t="s">
        <v>256</v>
      </c>
      <c r="O3204" t="s">
        <v>419</v>
      </c>
      <c r="P3204" t="s">
        <v>420</v>
      </c>
      <c r="Q3204" t="s">
        <v>245</v>
      </c>
    </row>
    <row r="3205" spans="1:18" x14ac:dyDescent="0.25">
      <c r="A3205" t="s">
        <v>420</v>
      </c>
      <c r="B3205" t="s">
        <v>215</v>
      </c>
      <c r="C3205" s="4">
        <v>2.9208254306090749E-2</v>
      </c>
      <c r="D3205" s="4">
        <v>2.9208254306090749E-2</v>
      </c>
      <c r="E3205" s="4">
        <v>2.9208254306090749E-2</v>
      </c>
      <c r="F3205" s="4">
        <v>2.9208254306090749E-2</v>
      </c>
      <c r="G3205" s="4">
        <v>2.9208254306090749E-2</v>
      </c>
      <c r="H3205" s="4">
        <v>2.9208254306090749E-2</v>
      </c>
      <c r="I3205" s="4">
        <v>2.9208254306090749E-2</v>
      </c>
      <c r="J3205" s="4">
        <v>2.9208254306090749E-2</v>
      </c>
      <c r="K3205" s="4">
        <v>2.9208254306090749E-2</v>
      </c>
      <c r="L3205" s="4">
        <v>2.9208254306090749E-2</v>
      </c>
      <c r="M3205" s="4">
        <v>2.9208254306090749E-2</v>
      </c>
      <c r="N3205" t="s">
        <v>256</v>
      </c>
      <c r="O3205" t="s">
        <v>419</v>
      </c>
      <c r="P3205" t="s">
        <v>420</v>
      </c>
      <c r="Q3205" t="s">
        <v>245</v>
      </c>
    </row>
    <row r="3206" spans="1:18" x14ac:dyDescent="0.25">
      <c r="A3206" t="s">
        <v>420</v>
      </c>
      <c r="B3206" t="s">
        <v>115</v>
      </c>
      <c r="C3206" s="4">
        <v>1.4750559984895431E-2</v>
      </c>
      <c r="D3206" s="4">
        <v>1.4750559984895431E-2</v>
      </c>
      <c r="E3206" s="4">
        <v>1.4750559984895431E-2</v>
      </c>
      <c r="F3206" s="4">
        <v>1.4750559984895431E-2</v>
      </c>
      <c r="G3206" s="4">
        <v>1.4750559984895431E-2</v>
      </c>
      <c r="H3206" s="4">
        <v>1.4750559984895431E-2</v>
      </c>
      <c r="I3206" s="4">
        <v>1.4750559984895431E-2</v>
      </c>
      <c r="J3206" s="4">
        <v>1.4750559984895431E-2</v>
      </c>
      <c r="K3206" s="4">
        <v>1.4750559984895431E-2</v>
      </c>
      <c r="L3206" s="4">
        <v>1.4750559984895431E-2</v>
      </c>
      <c r="M3206" s="4">
        <v>1.4750559984895431E-2</v>
      </c>
      <c r="N3206" t="s">
        <v>256</v>
      </c>
      <c r="O3206" t="s">
        <v>419</v>
      </c>
      <c r="P3206" t="s">
        <v>420</v>
      </c>
      <c r="Q3206" t="s">
        <v>245</v>
      </c>
    </row>
    <row r="3207" spans="1:18" x14ac:dyDescent="0.25">
      <c r="A3207" t="s">
        <v>441</v>
      </c>
      <c r="B3207" t="s">
        <v>83</v>
      </c>
      <c r="C3207" s="2">
        <v>7.0874683712762801E-2</v>
      </c>
      <c r="D3207" s="2">
        <v>7.0874683712762801E-2</v>
      </c>
      <c r="E3207" s="2">
        <v>7.0874683712762801E-2</v>
      </c>
      <c r="F3207" s="2">
        <v>7.0874683712762801E-2</v>
      </c>
      <c r="G3207" s="2">
        <v>7.0874683712762801E-2</v>
      </c>
      <c r="H3207" s="2">
        <v>7.0874683712762801E-2</v>
      </c>
      <c r="I3207" s="2">
        <v>7.0874683712762801E-2</v>
      </c>
      <c r="J3207" s="2">
        <v>7.0874683712762801E-2</v>
      </c>
      <c r="K3207" s="2">
        <v>7.0874683712762801E-2</v>
      </c>
      <c r="L3207" s="2">
        <v>7.0874683712762801E-2</v>
      </c>
      <c r="M3207" s="2">
        <v>7.0874683712762801E-2</v>
      </c>
      <c r="N3207" t="s">
        <v>307</v>
      </c>
      <c r="O3207" t="s">
        <v>440</v>
      </c>
      <c r="P3207" t="s">
        <v>441</v>
      </c>
      <c r="Q3207" t="s">
        <v>245</v>
      </c>
      <c r="R3207" t="s">
        <v>582</v>
      </c>
    </row>
    <row r="3208" spans="1:18" x14ac:dyDescent="0.25">
      <c r="A3208" t="s">
        <v>441</v>
      </c>
      <c r="B3208" t="s">
        <v>85</v>
      </c>
      <c r="C3208" s="2">
        <f t="shared" ref="C3208:M3208" si="1675">(0.855510685714286/(0.855510685714286+0.0759181142857143)) * 0.572417436627207%</f>
        <v>5.2576131822824846E-3</v>
      </c>
      <c r="D3208" s="2">
        <f t="shared" si="1675"/>
        <v>5.2576131822824846E-3</v>
      </c>
      <c r="E3208" s="2">
        <f t="shared" si="1675"/>
        <v>5.2576131822824846E-3</v>
      </c>
      <c r="F3208" s="2">
        <f t="shared" si="1675"/>
        <v>5.2576131822824846E-3</v>
      </c>
      <c r="G3208" s="2">
        <f t="shared" si="1675"/>
        <v>5.2576131822824846E-3</v>
      </c>
      <c r="H3208" s="2">
        <f t="shared" si="1675"/>
        <v>5.2576131822824846E-3</v>
      </c>
      <c r="I3208" s="2">
        <f t="shared" si="1675"/>
        <v>5.2576131822824846E-3</v>
      </c>
      <c r="J3208" s="2">
        <f t="shared" si="1675"/>
        <v>5.2576131822824846E-3</v>
      </c>
      <c r="K3208" s="2">
        <f t="shared" si="1675"/>
        <v>5.2576131822824846E-3</v>
      </c>
      <c r="L3208" s="2">
        <f t="shared" si="1675"/>
        <v>5.2576131822824846E-3</v>
      </c>
      <c r="M3208" s="2">
        <f t="shared" si="1675"/>
        <v>5.2576131822824846E-3</v>
      </c>
      <c r="N3208" t="s">
        <v>242</v>
      </c>
      <c r="O3208" t="s">
        <v>442</v>
      </c>
      <c r="P3208" t="s">
        <v>441</v>
      </c>
      <c r="Q3208" t="s">
        <v>245</v>
      </c>
    </row>
    <row r="3209" spans="1:18" x14ac:dyDescent="0.25">
      <c r="A3209" t="s">
        <v>441</v>
      </c>
      <c r="B3209" t="s">
        <v>85</v>
      </c>
      <c r="C3209" s="2">
        <f t="shared" ref="C3209:M3209" si="1676">(0.0759181142857143/(0.855510685714286+0.0759181142857143)) * 0.572417436627207%</f>
        <v>4.6656118398958577E-4</v>
      </c>
      <c r="D3209" s="2">
        <f t="shared" si="1676"/>
        <v>4.6656118398958577E-4</v>
      </c>
      <c r="E3209" s="2">
        <f t="shared" si="1676"/>
        <v>4.6656118398958577E-4</v>
      </c>
      <c r="F3209" s="2">
        <f t="shared" si="1676"/>
        <v>4.6656118398958577E-4</v>
      </c>
      <c r="G3209" s="2">
        <f t="shared" si="1676"/>
        <v>4.6656118398958577E-4</v>
      </c>
      <c r="H3209" s="2">
        <f t="shared" si="1676"/>
        <v>4.6656118398958577E-4</v>
      </c>
      <c r="I3209" s="2">
        <f t="shared" si="1676"/>
        <v>4.6656118398958577E-4</v>
      </c>
      <c r="J3209" s="2">
        <f t="shared" si="1676"/>
        <v>4.6656118398958577E-4</v>
      </c>
      <c r="K3209" s="2">
        <f t="shared" si="1676"/>
        <v>4.6656118398958577E-4</v>
      </c>
      <c r="L3209" s="2">
        <f t="shared" si="1676"/>
        <v>4.6656118398958577E-4</v>
      </c>
      <c r="M3209" s="2">
        <f t="shared" si="1676"/>
        <v>4.6656118398958577E-4</v>
      </c>
      <c r="N3209" t="s">
        <v>256</v>
      </c>
      <c r="O3209" t="s">
        <v>440</v>
      </c>
      <c r="P3209" t="s">
        <v>441</v>
      </c>
      <c r="Q3209" t="s">
        <v>245</v>
      </c>
    </row>
    <row r="3210" spans="1:18" x14ac:dyDescent="0.25">
      <c r="A3210" t="s">
        <v>441</v>
      </c>
      <c r="B3210" t="s">
        <v>116</v>
      </c>
      <c r="C3210" s="2">
        <f t="shared" ref="C3210:M3210" si="1677">(0.855510685714286/(0.855510685714286+0.0759181142857143)) * 17.6921673277572%</f>
        <v>0.16250129051561907</v>
      </c>
      <c r="D3210" s="2">
        <f t="shared" si="1677"/>
        <v>0.16250129051561907</v>
      </c>
      <c r="E3210" s="2">
        <f t="shared" si="1677"/>
        <v>0.16250129051561907</v>
      </c>
      <c r="F3210" s="2">
        <f t="shared" si="1677"/>
        <v>0.16250129051561907</v>
      </c>
      <c r="G3210" s="2">
        <f t="shared" si="1677"/>
        <v>0.16250129051561907</v>
      </c>
      <c r="H3210" s="2">
        <f t="shared" si="1677"/>
        <v>0.16250129051561907</v>
      </c>
      <c r="I3210" s="2">
        <f t="shared" si="1677"/>
        <v>0.16250129051561907</v>
      </c>
      <c r="J3210" s="2">
        <f t="shared" si="1677"/>
        <v>0.16250129051561907</v>
      </c>
      <c r="K3210" s="2">
        <f t="shared" si="1677"/>
        <v>0.16250129051561907</v>
      </c>
      <c r="L3210" s="2">
        <f t="shared" si="1677"/>
        <v>0.16250129051561907</v>
      </c>
      <c r="M3210" s="2">
        <f t="shared" si="1677"/>
        <v>0.16250129051561907</v>
      </c>
      <c r="N3210" t="s">
        <v>242</v>
      </c>
      <c r="O3210" t="s">
        <v>442</v>
      </c>
      <c r="P3210" t="s">
        <v>441</v>
      </c>
      <c r="Q3210" t="s">
        <v>245</v>
      </c>
    </row>
    <row r="3211" spans="1:18" x14ac:dyDescent="0.25">
      <c r="A3211" t="s">
        <v>441</v>
      </c>
      <c r="B3211" t="s">
        <v>116</v>
      </c>
      <c r="C3211" s="2">
        <f t="shared" ref="C3211:M3211" si="1678">(0.0759181142857143/(0.855510685714286+0.0759181142857143)) * 17.6921673277572%</f>
        <v>1.4420382761952939E-2</v>
      </c>
      <c r="D3211" s="2">
        <f t="shared" si="1678"/>
        <v>1.4420382761952939E-2</v>
      </c>
      <c r="E3211" s="2">
        <f t="shared" si="1678"/>
        <v>1.4420382761952939E-2</v>
      </c>
      <c r="F3211" s="2">
        <f t="shared" si="1678"/>
        <v>1.4420382761952939E-2</v>
      </c>
      <c r="G3211" s="2">
        <f t="shared" si="1678"/>
        <v>1.4420382761952939E-2</v>
      </c>
      <c r="H3211" s="2">
        <f t="shared" si="1678"/>
        <v>1.4420382761952939E-2</v>
      </c>
      <c r="I3211" s="2">
        <f t="shared" si="1678"/>
        <v>1.4420382761952939E-2</v>
      </c>
      <c r="J3211" s="2">
        <f t="shared" si="1678"/>
        <v>1.4420382761952939E-2</v>
      </c>
      <c r="K3211" s="2">
        <f t="shared" si="1678"/>
        <v>1.4420382761952939E-2</v>
      </c>
      <c r="L3211" s="2">
        <f t="shared" si="1678"/>
        <v>1.4420382761952939E-2</v>
      </c>
      <c r="M3211" s="2">
        <f t="shared" si="1678"/>
        <v>1.4420382761952939E-2</v>
      </c>
      <c r="N3211" t="s">
        <v>256</v>
      </c>
      <c r="O3211" t="s">
        <v>440</v>
      </c>
      <c r="P3211" t="s">
        <v>441</v>
      </c>
      <c r="Q3211" t="s">
        <v>245</v>
      </c>
    </row>
    <row r="3212" spans="1:18" x14ac:dyDescent="0.25">
      <c r="A3212" t="s">
        <v>441</v>
      </c>
      <c r="B3212" t="s">
        <v>86</v>
      </c>
      <c r="C3212" s="2">
        <f t="shared" ref="C3212:M3212" si="1679">(0.855510685714286/(0.855510685714286+0.0759181142857143)) * 28.8129582194903%</f>
        <v>0.26464495883972255</v>
      </c>
      <c r="D3212" s="2">
        <f t="shared" si="1679"/>
        <v>0.26464495883972255</v>
      </c>
      <c r="E3212" s="2">
        <f t="shared" si="1679"/>
        <v>0.26464495883972255</v>
      </c>
      <c r="F3212" s="2">
        <f t="shared" si="1679"/>
        <v>0.26464495883972255</v>
      </c>
      <c r="G3212" s="2">
        <f t="shared" si="1679"/>
        <v>0.26464495883972255</v>
      </c>
      <c r="H3212" s="2">
        <f t="shared" si="1679"/>
        <v>0.26464495883972255</v>
      </c>
      <c r="I3212" s="2">
        <f t="shared" si="1679"/>
        <v>0.26464495883972255</v>
      </c>
      <c r="J3212" s="2">
        <f t="shared" si="1679"/>
        <v>0.26464495883972255</v>
      </c>
      <c r="K3212" s="2">
        <f t="shared" si="1679"/>
        <v>0.26464495883972255</v>
      </c>
      <c r="L3212" s="2">
        <f t="shared" si="1679"/>
        <v>0.26464495883972255</v>
      </c>
      <c r="M3212" s="2">
        <f t="shared" si="1679"/>
        <v>0.26464495883972255</v>
      </c>
      <c r="N3212" t="s">
        <v>242</v>
      </c>
      <c r="O3212" t="s">
        <v>442</v>
      </c>
      <c r="P3212" t="s">
        <v>441</v>
      </c>
      <c r="Q3212" t="s">
        <v>245</v>
      </c>
    </row>
    <row r="3213" spans="1:18" x14ac:dyDescent="0.25">
      <c r="A3213" t="s">
        <v>441</v>
      </c>
      <c r="B3213" t="s">
        <v>86</v>
      </c>
      <c r="C3213" s="2">
        <f t="shared" ref="C3213:M3213" si="1680">(0.0759181142857143/(0.855510685714286+0.0759181142857143)) * 28.8129582194903%</f>
        <v>2.3484623355180506E-2</v>
      </c>
      <c r="D3213" s="2">
        <f t="shared" si="1680"/>
        <v>2.3484623355180506E-2</v>
      </c>
      <c r="E3213" s="2">
        <f t="shared" si="1680"/>
        <v>2.3484623355180506E-2</v>
      </c>
      <c r="F3213" s="2">
        <f t="shared" si="1680"/>
        <v>2.3484623355180506E-2</v>
      </c>
      <c r="G3213" s="2">
        <f t="shared" si="1680"/>
        <v>2.3484623355180506E-2</v>
      </c>
      <c r="H3213" s="2">
        <f t="shared" si="1680"/>
        <v>2.3484623355180506E-2</v>
      </c>
      <c r="I3213" s="2">
        <f t="shared" si="1680"/>
        <v>2.3484623355180506E-2</v>
      </c>
      <c r="J3213" s="2">
        <f t="shared" si="1680"/>
        <v>2.3484623355180506E-2</v>
      </c>
      <c r="K3213" s="2">
        <f t="shared" si="1680"/>
        <v>2.3484623355180506E-2</v>
      </c>
      <c r="L3213" s="2">
        <f t="shared" si="1680"/>
        <v>2.3484623355180506E-2</v>
      </c>
      <c r="M3213" s="2">
        <f t="shared" si="1680"/>
        <v>2.3484623355180506E-2</v>
      </c>
      <c r="N3213" t="s">
        <v>256</v>
      </c>
      <c r="O3213" t="s">
        <v>440</v>
      </c>
      <c r="P3213" t="s">
        <v>441</v>
      </c>
      <c r="Q3213" t="s">
        <v>245</v>
      </c>
    </row>
    <row r="3214" spans="1:18" x14ac:dyDescent="0.25">
      <c r="A3214" t="s">
        <v>441</v>
      </c>
      <c r="B3214" t="s">
        <v>97</v>
      </c>
      <c r="C3214" s="2">
        <f t="shared" ref="C3214:M3214" si="1681">(0.855510685714286/(0.855510685714286+0.0759181142857143)) * 3.80774738702791%</f>
        <v>3.497388719463073E-2</v>
      </c>
      <c r="D3214" s="2">
        <f t="shared" si="1681"/>
        <v>3.497388719463073E-2</v>
      </c>
      <c r="E3214" s="2">
        <f t="shared" si="1681"/>
        <v>3.497388719463073E-2</v>
      </c>
      <c r="F3214" s="2">
        <f t="shared" si="1681"/>
        <v>3.497388719463073E-2</v>
      </c>
      <c r="G3214" s="2">
        <f t="shared" si="1681"/>
        <v>3.497388719463073E-2</v>
      </c>
      <c r="H3214" s="2">
        <f t="shared" si="1681"/>
        <v>3.497388719463073E-2</v>
      </c>
      <c r="I3214" s="2">
        <f t="shared" si="1681"/>
        <v>3.497388719463073E-2</v>
      </c>
      <c r="J3214" s="2">
        <f t="shared" si="1681"/>
        <v>3.497388719463073E-2</v>
      </c>
      <c r="K3214" s="2">
        <f t="shared" si="1681"/>
        <v>3.497388719463073E-2</v>
      </c>
      <c r="L3214" s="2">
        <f t="shared" si="1681"/>
        <v>3.497388719463073E-2</v>
      </c>
      <c r="M3214" s="2">
        <f t="shared" si="1681"/>
        <v>3.497388719463073E-2</v>
      </c>
      <c r="N3214" t="s">
        <v>242</v>
      </c>
      <c r="O3214" t="s">
        <v>442</v>
      </c>
      <c r="P3214" t="s">
        <v>441</v>
      </c>
      <c r="Q3214" t="s">
        <v>245</v>
      </c>
    </row>
    <row r="3215" spans="1:18" x14ac:dyDescent="0.25">
      <c r="A3215" t="s">
        <v>441</v>
      </c>
      <c r="B3215" t="s">
        <v>97</v>
      </c>
      <c r="C3215" s="2">
        <f t="shared" ref="C3215:M3215" si="1682">(0.0759181142857143/(0.855510685714286+0.0759181142857143)) * 3.80774738702791%</f>
        <v>3.1035866756483669E-3</v>
      </c>
      <c r="D3215" s="2">
        <f t="shared" si="1682"/>
        <v>3.1035866756483669E-3</v>
      </c>
      <c r="E3215" s="2">
        <f t="shared" si="1682"/>
        <v>3.1035866756483669E-3</v>
      </c>
      <c r="F3215" s="2">
        <f t="shared" si="1682"/>
        <v>3.1035866756483669E-3</v>
      </c>
      <c r="G3215" s="2">
        <f t="shared" si="1682"/>
        <v>3.1035866756483669E-3</v>
      </c>
      <c r="H3215" s="2">
        <f t="shared" si="1682"/>
        <v>3.1035866756483669E-3</v>
      </c>
      <c r="I3215" s="2">
        <f t="shared" si="1682"/>
        <v>3.1035866756483669E-3</v>
      </c>
      <c r="J3215" s="2">
        <f t="shared" si="1682"/>
        <v>3.1035866756483669E-3</v>
      </c>
      <c r="K3215" s="2">
        <f t="shared" si="1682"/>
        <v>3.1035866756483669E-3</v>
      </c>
      <c r="L3215" s="2">
        <f t="shared" si="1682"/>
        <v>3.1035866756483669E-3</v>
      </c>
      <c r="M3215" s="2">
        <f t="shared" si="1682"/>
        <v>3.1035866756483669E-3</v>
      </c>
      <c r="N3215" t="s">
        <v>256</v>
      </c>
      <c r="O3215" t="s">
        <v>440</v>
      </c>
      <c r="P3215" t="s">
        <v>441</v>
      </c>
      <c r="Q3215" t="s">
        <v>245</v>
      </c>
    </row>
    <row r="3216" spans="1:18" x14ac:dyDescent="0.25">
      <c r="A3216" t="s">
        <v>441</v>
      </c>
      <c r="B3216" s="6" t="s">
        <v>102</v>
      </c>
      <c r="C3216" s="2">
        <f t="shared" ref="C3216:M3216" si="1683">(0.855510685714286/(0.855510685714286+0.0759181142857143)) * 0.0539733399584113%</f>
        <v>4.9574126415363913E-4</v>
      </c>
      <c r="D3216" s="2">
        <f t="shared" si="1683"/>
        <v>4.9574126415363913E-4</v>
      </c>
      <c r="E3216" s="2">
        <f t="shared" si="1683"/>
        <v>4.9574126415363913E-4</v>
      </c>
      <c r="F3216" s="2">
        <f t="shared" si="1683"/>
        <v>4.9574126415363913E-4</v>
      </c>
      <c r="G3216" s="2">
        <f t="shared" si="1683"/>
        <v>4.9574126415363913E-4</v>
      </c>
      <c r="H3216" s="2">
        <f t="shared" si="1683"/>
        <v>4.9574126415363913E-4</v>
      </c>
      <c r="I3216" s="2">
        <f t="shared" si="1683"/>
        <v>4.9574126415363913E-4</v>
      </c>
      <c r="J3216" s="2">
        <f t="shared" si="1683"/>
        <v>4.9574126415363913E-4</v>
      </c>
      <c r="K3216" s="2">
        <f t="shared" si="1683"/>
        <v>4.9574126415363913E-4</v>
      </c>
      <c r="L3216" s="2">
        <f t="shared" si="1683"/>
        <v>4.9574126415363913E-4</v>
      </c>
      <c r="M3216" s="2">
        <f t="shared" si="1683"/>
        <v>4.9574126415363913E-4</v>
      </c>
      <c r="N3216" t="s">
        <v>242</v>
      </c>
      <c r="O3216" t="s">
        <v>442</v>
      </c>
      <c r="P3216" t="s">
        <v>441</v>
      </c>
      <c r="Q3216" t="s">
        <v>245</v>
      </c>
    </row>
    <row r="3217" spans="1:17" x14ac:dyDescent="0.25">
      <c r="A3217" t="s">
        <v>441</v>
      </c>
      <c r="B3217" s="6" t="s">
        <v>102</v>
      </c>
      <c r="C3217" s="2">
        <f t="shared" ref="C3217:M3217" si="1684">(0.0759181142857143/(0.855510685714286+0.0759181142857143)) * 0.0539733399584113%</f>
        <v>4.3992135430473891E-5</v>
      </c>
      <c r="D3217" s="2">
        <f t="shared" si="1684"/>
        <v>4.3992135430473891E-5</v>
      </c>
      <c r="E3217" s="2">
        <f t="shared" si="1684"/>
        <v>4.3992135430473891E-5</v>
      </c>
      <c r="F3217" s="2">
        <f t="shared" si="1684"/>
        <v>4.3992135430473891E-5</v>
      </c>
      <c r="G3217" s="2">
        <f t="shared" si="1684"/>
        <v>4.3992135430473891E-5</v>
      </c>
      <c r="H3217" s="2">
        <f t="shared" si="1684"/>
        <v>4.3992135430473891E-5</v>
      </c>
      <c r="I3217" s="2">
        <f t="shared" si="1684"/>
        <v>4.3992135430473891E-5</v>
      </c>
      <c r="J3217" s="2">
        <f t="shared" si="1684"/>
        <v>4.3992135430473891E-5</v>
      </c>
      <c r="K3217" s="2">
        <f t="shared" si="1684"/>
        <v>4.3992135430473891E-5</v>
      </c>
      <c r="L3217" s="2">
        <f t="shared" si="1684"/>
        <v>4.3992135430473891E-5</v>
      </c>
      <c r="M3217" s="2">
        <f t="shared" si="1684"/>
        <v>4.3992135430473891E-5</v>
      </c>
      <c r="N3217" t="s">
        <v>256</v>
      </c>
      <c r="O3217" t="s">
        <v>440</v>
      </c>
      <c r="P3217" t="s">
        <v>441</v>
      </c>
      <c r="Q3217" t="s">
        <v>245</v>
      </c>
    </row>
    <row r="3218" spans="1:17" x14ac:dyDescent="0.25">
      <c r="A3218" t="s">
        <v>441</v>
      </c>
      <c r="B3218" t="s">
        <v>198</v>
      </c>
      <c r="C3218" s="2">
        <f t="shared" ref="C3218:M3218" si="1685">(0.855510685714286/(0.855510685714286+0.0759181142857143)) * 2.50489047786112%</f>
        <v>2.3007239741289421E-2</v>
      </c>
      <c r="D3218" s="2">
        <f t="shared" si="1685"/>
        <v>2.3007239741289421E-2</v>
      </c>
      <c r="E3218" s="2">
        <f t="shared" si="1685"/>
        <v>2.3007239741289421E-2</v>
      </c>
      <c r="F3218" s="2">
        <f t="shared" si="1685"/>
        <v>2.3007239741289421E-2</v>
      </c>
      <c r="G3218" s="2">
        <f t="shared" si="1685"/>
        <v>2.3007239741289421E-2</v>
      </c>
      <c r="H3218" s="2">
        <f t="shared" si="1685"/>
        <v>2.3007239741289421E-2</v>
      </c>
      <c r="I3218" s="2">
        <f t="shared" si="1685"/>
        <v>2.3007239741289421E-2</v>
      </c>
      <c r="J3218" s="2">
        <f t="shared" si="1685"/>
        <v>2.3007239741289421E-2</v>
      </c>
      <c r="K3218" s="2">
        <f t="shared" si="1685"/>
        <v>2.3007239741289421E-2</v>
      </c>
      <c r="L3218" s="2">
        <f t="shared" si="1685"/>
        <v>2.3007239741289421E-2</v>
      </c>
      <c r="M3218" s="2">
        <f t="shared" si="1685"/>
        <v>2.3007239741289421E-2</v>
      </c>
      <c r="N3218" t="s">
        <v>242</v>
      </c>
      <c r="O3218" t="s">
        <v>442</v>
      </c>
      <c r="P3218" t="s">
        <v>441</v>
      </c>
      <c r="Q3218" t="s">
        <v>245</v>
      </c>
    </row>
    <row r="3219" spans="1:17" x14ac:dyDescent="0.25">
      <c r="A3219" t="s">
        <v>441</v>
      </c>
      <c r="B3219" t="s">
        <v>198</v>
      </c>
      <c r="C3219" s="2">
        <f t="shared" ref="C3219:M3219" si="1686">(0.0759181142857143/(0.855510685714286+0.0759181142857143)) * 2.50489047786112%</f>
        <v>2.0416650373217787E-3</v>
      </c>
      <c r="D3219" s="2">
        <f t="shared" si="1686"/>
        <v>2.0416650373217787E-3</v>
      </c>
      <c r="E3219" s="2">
        <f t="shared" si="1686"/>
        <v>2.0416650373217787E-3</v>
      </c>
      <c r="F3219" s="2">
        <f t="shared" si="1686"/>
        <v>2.0416650373217787E-3</v>
      </c>
      <c r="G3219" s="2">
        <f t="shared" si="1686"/>
        <v>2.0416650373217787E-3</v>
      </c>
      <c r="H3219" s="2">
        <f t="shared" si="1686"/>
        <v>2.0416650373217787E-3</v>
      </c>
      <c r="I3219" s="2">
        <f t="shared" si="1686"/>
        <v>2.0416650373217787E-3</v>
      </c>
      <c r="J3219" s="2">
        <f t="shared" si="1686"/>
        <v>2.0416650373217787E-3</v>
      </c>
      <c r="K3219" s="2">
        <f t="shared" si="1686"/>
        <v>2.0416650373217787E-3</v>
      </c>
      <c r="L3219" s="2">
        <f t="shared" si="1686"/>
        <v>2.0416650373217787E-3</v>
      </c>
      <c r="M3219" s="2">
        <f t="shared" si="1686"/>
        <v>2.0416650373217787E-3</v>
      </c>
      <c r="N3219" t="s">
        <v>256</v>
      </c>
      <c r="O3219" t="s">
        <v>440</v>
      </c>
      <c r="P3219" t="s">
        <v>441</v>
      </c>
      <c r="Q3219" t="s">
        <v>245</v>
      </c>
    </row>
    <row r="3220" spans="1:17" x14ac:dyDescent="0.25">
      <c r="A3220" t="s">
        <v>441</v>
      </c>
      <c r="B3220" t="s">
        <v>148</v>
      </c>
      <c r="C3220" s="2">
        <f t="shared" ref="C3220:M3220" si="1687">(0.855510685714286/(0.855510685714286+0.0759181142857143)) * 1.94553426338095%</f>
        <v>1.7869592949516639E-2</v>
      </c>
      <c r="D3220" s="2">
        <f t="shared" si="1687"/>
        <v>1.7869592949516639E-2</v>
      </c>
      <c r="E3220" s="2">
        <f t="shared" si="1687"/>
        <v>1.7869592949516639E-2</v>
      </c>
      <c r="F3220" s="2">
        <f t="shared" si="1687"/>
        <v>1.7869592949516639E-2</v>
      </c>
      <c r="G3220" s="2">
        <f t="shared" si="1687"/>
        <v>1.7869592949516639E-2</v>
      </c>
      <c r="H3220" s="2">
        <f t="shared" si="1687"/>
        <v>1.7869592949516639E-2</v>
      </c>
      <c r="I3220" s="2">
        <f t="shared" si="1687"/>
        <v>1.7869592949516639E-2</v>
      </c>
      <c r="J3220" s="2">
        <f t="shared" si="1687"/>
        <v>1.7869592949516639E-2</v>
      </c>
      <c r="K3220" s="2">
        <f t="shared" si="1687"/>
        <v>1.7869592949516639E-2</v>
      </c>
      <c r="L3220" s="2">
        <f t="shared" si="1687"/>
        <v>1.7869592949516639E-2</v>
      </c>
      <c r="M3220" s="2">
        <f t="shared" si="1687"/>
        <v>1.7869592949516639E-2</v>
      </c>
      <c r="N3220" t="s">
        <v>242</v>
      </c>
      <c r="O3220" t="s">
        <v>442</v>
      </c>
      <c r="P3220" t="s">
        <v>441</v>
      </c>
      <c r="Q3220" t="s">
        <v>245</v>
      </c>
    </row>
    <row r="3221" spans="1:17" x14ac:dyDescent="0.25">
      <c r="A3221" t="s">
        <v>441</v>
      </c>
      <c r="B3221" t="s">
        <v>148</v>
      </c>
      <c r="C3221" s="2">
        <f t="shared" ref="C3221:M3221" si="1688">(0.0759181142857143/(0.855510685714286+0.0759181142857143)) * 1.94553426338095%</f>
        <v>1.5857496842928618E-3</v>
      </c>
      <c r="D3221" s="2">
        <f t="shared" si="1688"/>
        <v>1.5857496842928618E-3</v>
      </c>
      <c r="E3221" s="2">
        <f t="shared" si="1688"/>
        <v>1.5857496842928618E-3</v>
      </c>
      <c r="F3221" s="2">
        <f t="shared" si="1688"/>
        <v>1.5857496842928618E-3</v>
      </c>
      <c r="G3221" s="2">
        <f t="shared" si="1688"/>
        <v>1.5857496842928618E-3</v>
      </c>
      <c r="H3221" s="2">
        <f t="shared" si="1688"/>
        <v>1.5857496842928618E-3</v>
      </c>
      <c r="I3221" s="2">
        <f t="shared" si="1688"/>
        <v>1.5857496842928618E-3</v>
      </c>
      <c r="J3221" s="2">
        <f t="shared" si="1688"/>
        <v>1.5857496842928618E-3</v>
      </c>
      <c r="K3221" s="2">
        <f t="shared" si="1688"/>
        <v>1.5857496842928618E-3</v>
      </c>
      <c r="L3221" s="2">
        <f t="shared" si="1688"/>
        <v>1.5857496842928618E-3</v>
      </c>
      <c r="M3221" s="2">
        <f t="shared" si="1688"/>
        <v>1.5857496842928618E-3</v>
      </c>
      <c r="N3221" t="s">
        <v>256</v>
      </c>
      <c r="O3221" t="s">
        <v>440</v>
      </c>
      <c r="P3221" t="s">
        <v>441</v>
      </c>
      <c r="Q3221" t="s">
        <v>245</v>
      </c>
    </row>
    <row r="3222" spans="1:17" x14ac:dyDescent="0.25">
      <c r="A3222" t="s">
        <v>441</v>
      </c>
      <c r="B3222" t="s">
        <v>141</v>
      </c>
      <c r="C3222" s="2">
        <f t="shared" ref="C3222:M3222" si="1689">(0.855510685714286/(0.855510685714286+0.0759181142857143)) * 3.54034454574574%</f>
        <v>3.2517811237915008E-2</v>
      </c>
      <c r="D3222" s="2">
        <f t="shared" si="1689"/>
        <v>3.2517811237915008E-2</v>
      </c>
      <c r="E3222" s="2">
        <f t="shared" si="1689"/>
        <v>3.2517811237915008E-2</v>
      </c>
      <c r="F3222" s="2">
        <f t="shared" si="1689"/>
        <v>3.2517811237915008E-2</v>
      </c>
      <c r="G3222" s="2">
        <f t="shared" si="1689"/>
        <v>3.2517811237915008E-2</v>
      </c>
      <c r="H3222" s="2">
        <f t="shared" si="1689"/>
        <v>3.2517811237915008E-2</v>
      </c>
      <c r="I3222" s="2">
        <f t="shared" si="1689"/>
        <v>3.2517811237915008E-2</v>
      </c>
      <c r="J3222" s="2">
        <f t="shared" si="1689"/>
        <v>3.2517811237915008E-2</v>
      </c>
      <c r="K3222" s="2">
        <f t="shared" si="1689"/>
        <v>3.2517811237915008E-2</v>
      </c>
      <c r="L3222" s="2">
        <f t="shared" si="1689"/>
        <v>3.2517811237915008E-2</v>
      </c>
      <c r="M3222" s="2">
        <f t="shared" si="1689"/>
        <v>3.2517811237915008E-2</v>
      </c>
      <c r="N3222" t="s">
        <v>242</v>
      </c>
      <c r="O3222" t="s">
        <v>442</v>
      </c>
      <c r="P3222" t="s">
        <v>441</v>
      </c>
      <c r="Q3222" t="s">
        <v>245</v>
      </c>
    </row>
    <row r="3223" spans="1:17" x14ac:dyDescent="0.25">
      <c r="A3223" t="s">
        <v>441</v>
      </c>
      <c r="B3223" t="s">
        <v>141</v>
      </c>
      <c r="C3223" s="2">
        <f t="shared" ref="C3223:M3223" si="1690">(0.0759181142857143/(0.855510685714286+0.0759181142857143)) * 3.54034454574574%</f>
        <v>2.8856342195423875E-3</v>
      </c>
      <c r="D3223" s="2">
        <f t="shared" si="1690"/>
        <v>2.8856342195423875E-3</v>
      </c>
      <c r="E3223" s="2">
        <f t="shared" si="1690"/>
        <v>2.8856342195423875E-3</v>
      </c>
      <c r="F3223" s="2">
        <f t="shared" si="1690"/>
        <v>2.8856342195423875E-3</v>
      </c>
      <c r="G3223" s="2">
        <f t="shared" si="1690"/>
        <v>2.8856342195423875E-3</v>
      </c>
      <c r="H3223" s="2">
        <f t="shared" si="1690"/>
        <v>2.8856342195423875E-3</v>
      </c>
      <c r="I3223" s="2">
        <f t="shared" si="1690"/>
        <v>2.8856342195423875E-3</v>
      </c>
      <c r="J3223" s="2">
        <f t="shared" si="1690"/>
        <v>2.8856342195423875E-3</v>
      </c>
      <c r="K3223" s="2">
        <f t="shared" si="1690"/>
        <v>2.8856342195423875E-3</v>
      </c>
      <c r="L3223" s="2">
        <f t="shared" si="1690"/>
        <v>2.8856342195423875E-3</v>
      </c>
      <c r="M3223" s="2">
        <f t="shared" si="1690"/>
        <v>2.8856342195423875E-3</v>
      </c>
      <c r="N3223" t="s">
        <v>256</v>
      </c>
      <c r="O3223" t="s">
        <v>440</v>
      </c>
      <c r="P3223" t="s">
        <v>441</v>
      </c>
      <c r="Q3223" t="s">
        <v>245</v>
      </c>
    </row>
    <row r="3224" spans="1:17" x14ac:dyDescent="0.25">
      <c r="A3224" t="s">
        <v>441</v>
      </c>
      <c r="B3224" t="s">
        <v>103</v>
      </c>
      <c r="C3224" s="2">
        <f t="shared" ref="C3224:M3224" si="1691">(0.855510685714286/(0.855510685714286+0.0759181142857143)) * 0.0706121303190044%</f>
        <v>6.4856736262565602E-4</v>
      </c>
      <c r="D3224" s="2">
        <f t="shared" si="1691"/>
        <v>6.4856736262565602E-4</v>
      </c>
      <c r="E3224" s="2">
        <f t="shared" si="1691"/>
        <v>6.4856736262565602E-4</v>
      </c>
      <c r="F3224" s="2">
        <f t="shared" si="1691"/>
        <v>6.4856736262565602E-4</v>
      </c>
      <c r="G3224" s="2">
        <f t="shared" si="1691"/>
        <v>6.4856736262565602E-4</v>
      </c>
      <c r="H3224" s="2">
        <f t="shared" si="1691"/>
        <v>6.4856736262565602E-4</v>
      </c>
      <c r="I3224" s="2">
        <f t="shared" si="1691"/>
        <v>6.4856736262565602E-4</v>
      </c>
      <c r="J3224" s="2">
        <f t="shared" si="1691"/>
        <v>6.4856736262565602E-4</v>
      </c>
      <c r="K3224" s="2">
        <f t="shared" si="1691"/>
        <v>6.4856736262565602E-4</v>
      </c>
      <c r="L3224" s="2">
        <f t="shared" si="1691"/>
        <v>6.4856736262565602E-4</v>
      </c>
      <c r="M3224" s="2">
        <f t="shared" si="1691"/>
        <v>6.4856736262565602E-4</v>
      </c>
      <c r="N3224" t="s">
        <v>242</v>
      </c>
      <c r="O3224" t="s">
        <v>442</v>
      </c>
      <c r="P3224" t="s">
        <v>441</v>
      </c>
      <c r="Q3224" t="s">
        <v>245</v>
      </c>
    </row>
    <row r="3225" spans="1:17" x14ac:dyDescent="0.25">
      <c r="A3225" t="s">
        <v>441</v>
      </c>
      <c r="B3225" t="s">
        <v>103</v>
      </c>
      <c r="C3225" s="2">
        <f t="shared" ref="C3225:M3225" si="1692">(0.0759181142857143/(0.855510685714286+0.0759181142857143)) * 0.0706121303190044%</f>
        <v>5.7553940564388021E-5</v>
      </c>
      <c r="D3225" s="2">
        <f t="shared" si="1692"/>
        <v>5.7553940564388021E-5</v>
      </c>
      <c r="E3225" s="2">
        <f t="shared" si="1692"/>
        <v>5.7553940564388021E-5</v>
      </c>
      <c r="F3225" s="2">
        <f t="shared" si="1692"/>
        <v>5.7553940564388021E-5</v>
      </c>
      <c r="G3225" s="2">
        <f t="shared" si="1692"/>
        <v>5.7553940564388021E-5</v>
      </c>
      <c r="H3225" s="2">
        <f t="shared" si="1692"/>
        <v>5.7553940564388021E-5</v>
      </c>
      <c r="I3225" s="2">
        <f t="shared" si="1692"/>
        <v>5.7553940564388021E-5</v>
      </c>
      <c r="J3225" s="2">
        <f t="shared" si="1692"/>
        <v>5.7553940564388021E-5</v>
      </c>
      <c r="K3225" s="2">
        <f t="shared" si="1692"/>
        <v>5.7553940564388021E-5</v>
      </c>
      <c r="L3225" s="2">
        <f t="shared" si="1692"/>
        <v>5.7553940564388021E-5</v>
      </c>
      <c r="M3225" s="2">
        <f t="shared" si="1692"/>
        <v>5.7553940564388021E-5</v>
      </c>
      <c r="N3225" t="s">
        <v>256</v>
      </c>
      <c r="O3225" t="s">
        <v>440</v>
      </c>
      <c r="P3225" t="s">
        <v>441</v>
      </c>
      <c r="Q3225" t="s">
        <v>245</v>
      </c>
    </row>
    <row r="3226" spans="1:17" x14ac:dyDescent="0.25">
      <c r="A3226" t="s">
        <v>441</v>
      </c>
      <c r="B3226" t="s">
        <v>105</v>
      </c>
      <c r="C3226" s="2">
        <f t="shared" ref="C3226:M3226" si="1693">(0.855510685714286/(0.855510685714286+0.0759181142857143)) * 6.96353922333522%</f>
        <v>6.395960932229966E-2</v>
      </c>
      <c r="D3226" s="2">
        <f t="shared" si="1693"/>
        <v>6.395960932229966E-2</v>
      </c>
      <c r="E3226" s="2">
        <f t="shared" si="1693"/>
        <v>6.395960932229966E-2</v>
      </c>
      <c r="F3226" s="2">
        <f t="shared" si="1693"/>
        <v>6.395960932229966E-2</v>
      </c>
      <c r="G3226" s="2">
        <f t="shared" si="1693"/>
        <v>6.395960932229966E-2</v>
      </c>
      <c r="H3226" s="2">
        <f t="shared" si="1693"/>
        <v>6.395960932229966E-2</v>
      </c>
      <c r="I3226" s="2">
        <f t="shared" si="1693"/>
        <v>6.395960932229966E-2</v>
      </c>
      <c r="J3226" s="2">
        <f t="shared" si="1693"/>
        <v>6.395960932229966E-2</v>
      </c>
      <c r="K3226" s="2">
        <f t="shared" si="1693"/>
        <v>6.395960932229966E-2</v>
      </c>
      <c r="L3226" s="2">
        <f t="shared" si="1693"/>
        <v>6.395960932229966E-2</v>
      </c>
      <c r="M3226" s="2">
        <f t="shared" si="1693"/>
        <v>6.395960932229966E-2</v>
      </c>
      <c r="N3226" t="s">
        <v>242</v>
      </c>
      <c r="O3226" t="s">
        <v>442</v>
      </c>
      <c r="P3226" t="s">
        <v>441</v>
      </c>
      <c r="Q3226" t="s">
        <v>245</v>
      </c>
    </row>
    <row r="3227" spans="1:17" x14ac:dyDescent="0.25">
      <c r="A3227" t="s">
        <v>441</v>
      </c>
      <c r="B3227" t="s">
        <v>105</v>
      </c>
      <c r="C3227" s="2">
        <f t="shared" ref="C3227:M3227" si="1694">(0.0759181142857143/(0.855510685714286+0.0759181142857143)) * 6.96353922333522%</f>
        <v>5.6757829110525371E-3</v>
      </c>
      <c r="D3227" s="2">
        <f t="shared" si="1694"/>
        <v>5.6757829110525371E-3</v>
      </c>
      <c r="E3227" s="2">
        <f t="shared" si="1694"/>
        <v>5.6757829110525371E-3</v>
      </c>
      <c r="F3227" s="2">
        <f t="shared" si="1694"/>
        <v>5.6757829110525371E-3</v>
      </c>
      <c r="G3227" s="2">
        <f t="shared" si="1694"/>
        <v>5.6757829110525371E-3</v>
      </c>
      <c r="H3227" s="2">
        <f t="shared" si="1694"/>
        <v>5.6757829110525371E-3</v>
      </c>
      <c r="I3227" s="2">
        <f t="shared" si="1694"/>
        <v>5.6757829110525371E-3</v>
      </c>
      <c r="J3227" s="2">
        <f t="shared" si="1694"/>
        <v>5.6757829110525371E-3</v>
      </c>
      <c r="K3227" s="2">
        <f t="shared" si="1694"/>
        <v>5.6757829110525371E-3</v>
      </c>
      <c r="L3227" s="2">
        <f t="shared" si="1694"/>
        <v>5.6757829110525371E-3</v>
      </c>
      <c r="M3227" s="2">
        <f t="shared" si="1694"/>
        <v>5.6757829110525371E-3</v>
      </c>
      <c r="N3227" t="s">
        <v>256</v>
      </c>
      <c r="O3227" t="s">
        <v>440</v>
      </c>
      <c r="P3227" t="s">
        <v>441</v>
      </c>
      <c r="Q3227" t="s">
        <v>245</v>
      </c>
    </row>
    <row r="3228" spans="1:17" x14ac:dyDescent="0.25">
      <c r="A3228" t="s">
        <v>441</v>
      </c>
      <c r="B3228" t="s">
        <v>132</v>
      </c>
      <c r="C3228" s="2">
        <f t="shared" ref="C3228:M3228" si="1695">(0.855510685714286/(0.855510685714286+0.0759181142857143)) * 5.59690245860549%</f>
        <v>5.1407148460918907E-2</v>
      </c>
      <c r="D3228" s="2">
        <f t="shared" si="1695"/>
        <v>5.1407148460918907E-2</v>
      </c>
      <c r="E3228" s="2">
        <f t="shared" si="1695"/>
        <v>5.1407148460918907E-2</v>
      </c>
      <c r="F3228" s="2">
        <f t="shared" si="1695"/>
        <v>5.1407148460918907E-2</v>
      </c>
      <c r="G3228" s="2">
        <f t="shared" si="1695"/>
        <v>5.1407148460918907E-2</v>
      </c>
      <c r="H3228" s="2">
        <f t="shared" si="1695"/>
        <v>5.1407148460918907E-2</v>
      </c>
      <c r="I3228" s="2">
        <f t="shared" si="1695"/>
        <v>5.1407148460918907E-2</v>
      </c>
      <c r="J3228" s="2">
        <f t="shared" si="1695"/>
        <v>5.1407148460918907E-2</v>
      </c>
      <c r="K3228" s="2">
        <f t="shared" si="1695"/>
        <v>5.1407148460918907E-2</v>
      </c>
      <c r="L3228" s="2">
        <f t="shared" si="1695"/>
        <v>5.1407148460918907E-2</v>
      </c>
      <c r="M3228" s="2">
        <f t="shared" si="1695"/>
        <v>5.1407148460918907E-2</v>
      </c>
      <c r="N3228" t="s">
        <v>242</v>
      </c>
      <c r="O3228" t="s">
        <v>442</v>
      </c>
      <c r="P3228" t="s">
        <v>441</v>
      </c>
      <c r="Q3228" t="s">
        <v>245</v>
      </c>
    </row>
    <row r="3229" spans="1:17" x14ac:dyDescent="0.25">
      <c r="A3229" t="s">
        <v>441</v>
      </c>
      <c r="B3229" t="s">
        <v>132</v>
      </c>
      <c r="C3229" s="2">
        <f t="shared" ref="C3229:M3229" si="1696">(0.0759181142857143/(0.855510685714286+0.0759181142857143)) * 5.59690245860549%</f>
        <v>4.561876125135993E-3</v>
      </c>
      <c r="D3229" s="2">
        <f t="shared" si="1696"/>
        <v>4.561876125135993E-3</v>
      </c>
      <c r="E3229" s="2">
        <f t="shared" si="1696"/>
        <v>4.561876125135993E-3</v>
      </c>
      <c r="F3229" s="2">
        <f t="shared" si="1696"/>
        <v>4.561876125135993E-3</v>
      </c>
      <c r="G3229" s="2">
        <f t="shared" si="1696"/>
        <v>4.561876125135993E-3</v>
      </c>
      <c r="H3229" s="2">
        <f t="shared" si="1696"/>
        <v>4.561876125135993E-3</v>
      </c>
      <c r="I3229" s="2">
        <f t="shared" si="1696"/>
        <v>4.561876125135993E-3</v>
      </c>
      <c r="J3229" s="2">
        <f t="shared" si="1696"/>
        <v>4.561876125135993E-3</v>
      </c>
      <c r="K3229" s="2">
        <f t="shared" si="1696"/>
        <v>4.561876125135993E-3</v>
      </c>
      <c r="L3229" s="2">
        <f t="shared" si="1696"/>
        <v>4.561876125135993E-3</v>
      </c>
      <c r="M3229" s="2">
        <f t="shared" si="1696"/>
        <v>4.561876125135993E-3</v>
      </c>
      <c r="N3229" t="s">
        <v>256</v>
      </c>
      <c r="O3229" t="s">
        <v>440</v>
      </c>
      <c r="P3229" t="s">
        <v>441</v>
      </c>
      <c r="Q3229" t="s">
        <v>245</v>
      </c>
    </row>
    <row r="3230" spans="1:17" x14ac:dyDescent="0.25">
      <c r="A3230" t="s">
        <v>441</v>
      </c>
      <c r="B3230" t="s">
        <v>107</v>
      </c>
      <c r="C3230" s="2">
        <f t="shared" ref="C3230:M3230" si="1697">(0.855510685714286/(0.855510685714286+0.0759181142857143)) * 0.576597516898608%</f>
        <v>5.2960069203688209E-3</v>
      </c>
      <c r="D3230" s="2">
        <f t="shared" si="1697"/>
        <v>5.2960069203688209E-3</v>
      </c>
      <c r="E3230" s="2">
        <f t="shared" si="1697"/>
        <v>5.2960069203688209E-3</v>
      </c>
      <c r="F3230" s="2">
        <f t="shared" si="1697"/>
        <v>5.2960069203688209E-3</v>
      </c>
      <c r="G3230" s="2">
        <f t="shared" si="1697"/>
        <v>5.2960069203688209E-3</v>
      </c>
      <c r="H3230" s="2">
        <f t="shared" si="1697"/>
        <v>5.2960069203688209E-3</v>
      </c>
      <c r="I3230" s="2">
        <f t="shared" si="1697"/>
        <v>5.2960069203688209E-3</v>
      </c>
      <c r="J3230" s="2">
        <f t="shared" si="1697"/>
        <v>5.2960069203688209E-3</v>
      </c>
      <c r="K3230" s="2">
        <f t="shared" si="1697"/>
        <v>5.2960069203688209E-3</v>
      </c>
      <c r="L3230" s="2">
        <f t="shared" si="1697"/>
        <v>5.2960069203688209E-3</v>
      </c>
      <c r="M3230" s="2">
        <f t="shared" si="1697"/>
        <v>5.2960069203688209E-3</v>
      </c>
      <c r="N3230" t="s">
        <v>242</v>
      </c>
      <c r="O3230" t="s">
        <v>442</v>
      </c>
      <c r="P3230" t="s">
        <v>441</v>
      </c>
      <c r="Q3230" t="s">
        <v>245</v>
      </c>
    </row>
    <row r="3231" spans="1:17" x14ac:dyDescent="0.25">
      <c r="A3231" t="s">
        <v>441</v>
      </c>
      <c r="B3231" t="s">
        <v>107</v>
      </c>
      <c r="C3231" s="2">
        <f t="shared" ref="C3231:M3231" si="1698">(0.0759181142857143/(0.855510685714286+0.0759181142857143)) * 0.576597516898608%</f>
        <v>4.6996824861725978E-4</v>
      </c>
      <c r="D3231" s="2">
        <f t="shared" si="1698"/>
        <v>4.6996824861725978E-4</v>
      </c>
      <c r="E3231" s="2">
        <f t="shared" si="1698"/>
        <v>4.6996824861725978E-4</v>
      </c>
      <c r="F3231" s="2">
        <f t="shared" si="1698"/>
        <v>4.6996824861725978E-4</v>
      </c>
      <c r="G3231" s="2">
        <f t="shared" si="1698"/>
        <v>4.6996824861725978E-4</v>
      </c>
      <c r="H3231" s="2">
        <f t="shared" si="1698"/>
        <v>4.6996824861725978E-4</v>
      </c>
      <c r="I3231" s="2">
        <f t="shared" si="1698"/>
        <v>4.6996824861725978E-4</v>
      </c>
      <c r="J3231" s="2">
        <f t="shared" si="1698"/>
        <v>4.6996824861725978E-4</v>
      </c>
      <c r="K3231" s="2">
        <f t="shared" si="1698"/>
        <v>4.6996824861725978E-4</v>
      </c>
      <c r="L3231" s="2">
        <f t="shared" si="1698"/>
        <v>4.6996824861725978E-4</v>
      </c>
      <c r="M3231" s="2">
        <f t="shared" si="1698"/>
        <v>4.6996824861725978E-4</v>
      </c>
      <c r="N3231" t="s">
        <v>256</v>
      </c>
      <c r="O3231" t="s">
        <v>440</v>
      </c>
      <c r="P3231" t="s">
        <v>441</v>
      </c>
      <c r="Q3231" t="s">
        <v>245</v>
      </c>
    </row>
    <row r="3232" spans="1:17" x14ac:dyDescent="0.25">
      <c r="A3232" t="s">
        <v>441</v>
      </c>
      <c r="B3232" t="s">
        <v>205</v>
      </c>
      <c r="C3232" s="2">
        <f t="shared" ref="C3232:M3232" si="1699">(0.855510685714286/(0.855510685714286+0.0759181142857143)) * 2.98737544826306%</f>
        <v>2.7438829658579938E-2</v>
      </c>
      <c r="D3232" s="2">
        <f t="shared" si="1699"/>
        <v>2.7438829658579938E-2</v>
      </c>
      <c r="E3232" s="2">
        <f t="shared" si="1699"/>
        <v>2.7438829658579938E-2</v>
      </c>
      <c r="F3232" s="2">
        <f t="shared" si="1699"/>
        <v>2.7438829658579938E-2</v>
      </c>
      <c r="G3232" s="2">
        <f t="shared" si="1699"/>
        <v>2.7438829658579938E-2</v>
      </c>
      <c r="H3232" s="2">
        <f t="shared" si="1699"/>
        <v>2.7438829658579938E-2</v>
      </c>
      <c r="I3232" s="2">
        <f t="shared" si="1699"/>
        <v>2.7438829658579938E-2</v>
      </c>
      <c r="J3232" s="2">
        <f t="shared" si="1699"/>
        <v>2.7438829658579938E-2</v>
      </c>
      <c r="K3232" s="2">
        <f t="shared" si="1699"/>
        <v>2.7438829658579938E-2</v>
      </c>
      <c r="L3232" s="2">
        <f t="shared" si="1699"/>
        <v>2.7438829658579938E-2</v>
      </c>
      <c r="M3232" s="2">
        <f t="shared" si="1699"/>
        <v>2.7438829658579938E-2</v>
      </c>
      <c r="N3232" t="s">
        <v>242</v>
      </c>
      <c r="O3232" t="s">
        <v>442</v>
      </c>
      <c r="P3232" t="s">
        <v>441</v>
      </c>
      <c r="Q3232" t="s">
        <v>245</v>
      </c>
    </row>
    <row r="3233" spans="1:18" x14ac:dyDescent="0.25">
      <c r="A3233" t="s">
        <v>441</v>
      </c>
      <c r="B3233" t="s">
        <v>205</v>
      </c>
      <c r="C3233" s="2">
        <f t="shared" ref="C3233:M3233" si="1700">(0.0759181142857143/(0.855510685714286+0.0759181142857143)) * 2.98737544826306%</f>
        <v>2.4349248240506617E-3</v>
      </c>
      <c r="D3233" s="2">
        <f t="shared" si="1700"/>
        <v>2.4349248240506617E-3</v>
      </c>
      <c r="E3233" s="2">
        <f t="shared" si="1700"/>
        <v>2.4349248240506617E-3</v>
      </c>
      <c r="F3233" s="2">
        <f t="shared" si="1700"/>
        <v>2.4349248240506617E-3</v>
      </c>
      <c r="G3233" s="2">
        <f t="shared" si="1700"/>
        <v>2.4349248240506617E-3</v>
      </c>
      <c r="H3233" s="2">
        <f t="shared" si="1700"/>
        <v>2.4349248240506617E-3</v>
      </c>
      <c r="I3233" s="2">
        <f t="shared" si="1700"/>
        <v>2.4349248240506617E-3</v>
      </c>
      <c r="J3233" s="2">
        <f t="shared" si="1700"/>
        <v>2.4349248240506617E-3</v>
      </c>
      <c r="K3233" s="2">
        <f t="shared" si="1700"/>
        <v>2.4349248240506617E-3</v>
      </c>
      <c r="L3233" s="2">
        <f t="shared" si="1700"/>
        <v>2.4349248240506617E-3</v>
      </c>
      <c r="M3233" s="2">
        <f t="shared" si="1700"/>
        <v>2.4349248240506617E-3</v>
      </c>
      <c r="N3233" t="s">
        <v>256</v>
      </c>
      <c r="O3233" t="s">
        <v>440</v>
      </c>
      <c r="P3233" t="s">
        <v>441</v>
      </c>
      <c r="Q3233" t="s">
        <v>245</v>
      </c>
    </row>
    <row r="3234" spans="1:18" x14ac:dyDescent="0.25">
      <c r="A3234" t="s">
        <v>441</v>
      </c>
      <c r="B3234" t="s">
        <v>109</v>
      </c>
      <c r="C3234" s="2">
        <f t="shared" ref="C3234:M3234" si="1701">(0.855510685714286/(0.855510685714286+0.0759181142857143)) * 0.359367868482005%</f>
        <v>3.3007681487701624E-3</v>
      </c>
      <c r="D3234" s="2">
        <f t="shared" si="1701"/>
        <v>3.3007681487701624E-3</v>
      </c>
      <c r="E3234" s="2">
        <f t="shared" si="1701"/>
        <v>3.3007681487701624E-3</v>
      </c>
      <c r="F3234" s="2">
        <f t="shared" si="1701"/>
        <v>3.3007681487701624E-3</v>
      </c>
      <c r="G3234" s="2">
        <f t="shared" si="1701"/>
        <v>3.3007681487701624E-3</v>
      </c>
      <c r="H3234" s="2">
        <f t="shared" si="1701"/>
        <v>3.3007681487701624E-3</v>
      </c>
      <c r="I3234" s="2">
        <f t="shared" si="1701"/>
        <v>3.3007681487701624E-3</v>
      </c>
      <c r="J3234" s="2">
        <f t="shared" si="1701"/>
        <v>3.3007681487701624E-3</v>
      </c>
      <c r="K3234" s="2">
        <f t="shared" si="1701"/>
        <v>3.3007681487701624E-3</v>
      </c>
      <c r="L3234" s="2">
        <f t="shared" si="1701"/>
        <v>3.3007681487701624E-3</v>
      </c>
      <c r="M3234" s="2">
        <f t="shared" si="1701"/>
        <v>3.3007681487701624E-3</v>
      </c>
      <c r="N3234" t="s">
        <v>242</v>
      </c>
      <c r="O3234" t="s">
        <v>442</v>
      </c>
      <c r="P3234" t="s">
        <v>441</v>
      </c>
      <c r="Q3234" t="s">
        <v>245</v>
      </c>
    </row>
    <row r="3235" spans="1:18" x14ac:dyDescent="0.25">
      <c r="A3235" t="s">
        <v>441</v>
      </c>
      <c r="B3235" t="s">
        <v>109</v>
      </c>
      <c r="C3235" s="2">
        <f t="shared" ref="C3235:M3235" si="1702">(0.0759181142857143/(0.855510685714286+0.0759181142857143)) * 0.359367868482005%</f>
        <v>2.9291053604988803E-4</v>
      </c>
      <c r="D3235" s="2">
        <f t="shared" si="1702"/>
        <v>2.9291053604988803E-4</v>
      </c>
      <c r="E3235" s="2">
        <f t="shared" si="1702"/>
        <v>2.9291053604988803E-4</v>
      </c>
      <c r="F3235" s="2">
        <f t="shared" si="1702"/>
        <v>2.9291053604988803E-4</v>
      </c>
      <c r="G3235" s="2">
        <f t="shared" si="1702"/>
        <v>2.9291053604988803E-4</v>
      </c>
      <c r="H3235" s="2">
        <f t="shared" si="1702"/>
        <v>2.9291053604988803E-4</v>
      </c>
      <c r="I3235" s="2">
        <f t="shared" si="1702"/>
        <v>2.9291053604988803E-4</v>
      </c>
      <c r="J3235" s="2">
        <f t="shared" si="1702"/>
        <v>2.9291053604988803E-4</v>
      </c>
      <c r="K3235" s="2">
        <f t="shared" si="1702"/>
        <v>2.9291053604988803E-4</v>
      </c>
      <c r="L3235" s="2">
        <f t="shared" si="1702"/>
        <v>2.9291053604988803E-4</v>
      </c>
      <c r="M3235" s="2">
        <f t="shared" si="1702"/>
        <v>2.9291053604988803E-4</v>
      </c>
      <c r="N3235" t="s">
        <v>256</v>
      </c>
      <c r="O3235" t="s">
        <v>440</v>
      </c>
      <c r="P3235" t="s">
        <v>441</v>
      </c>
      <c r="Q3235" t="s">
        <v>245</v>
      </c>
    </row>
    <row r="3236" spans="1:18" x14ac:dyDescent="0.25">
      <c r="A3236" t="s">
        <v>441</v>
      </c>
      <c r="B3236" t="s">
        <v>137</v>
      </c>
      <c r="C3236" s="2">
        <f t="shared" ref="C3236:M3236" si="1703">(0.855510685714286/(0.855510685714286+0.0759181142857143)) * 8.24520222053495%</f>
        <v>7.5731592211265158E-2</v>
      </c>
      <c r="D3236" s="2">
        <f t="shared" si="1703"/>
        <v>7.5731592211265158E-2</v>
      </c>
      <c r="E3236" s="2">
        <f t="shared" si="1703"/>
        <v>7.5731592211265158E-2</v>
      </c>
      <c r="F3236" s="2">
        <f t="shared" si="1703"/>
        <v>7.5731592211265158E-2</v>
      </c>
      <c r="G3236" s="2">
        <f t="shared" si="1703"/>
        <v>7.5731592211265158E-2</v>
      </c>
      <c r="H3236" s="2">
        <f t="shared" si="1703"/>
        <v>7.5731592211265158E-2</v>
      </c>
      <c r="I3236" s="2">
        <f t="shared" si="1703"/>
        <v>7.5731592211265158E-2</v>
      </c>
      <c r="J3236" s="2">
        <f t="shared" si="1703"/>
        <v>7.5731592211265158E-2</v>
      </c>
      <c r="K3236" s="2">
        <f t="shared" si="1703"/>
        <v>7.5731592211265158E-2</v>
      </c>
      <c r="L3236" s="2">
        <f t="shared" si="1703"/>
        <v>7.5731592211265158E-2</v>
      </c>
      <c r="M3236" s="2">
        <f t="shared" si="1703"/>
        <v>7.5731592211265158E-2</v>
      </c>
      <c r="N3236" t="s">
        <v>242</v>
      </c>
      <c r="O3236" t="s">
        <v>442</v>
      </c>
      <c r="P3236" t="s">
        <v>441</v>
      </c>
      <c r="Q3236" t="s">
        <v>245</v>
      </c>
    </row>
    <row r="3237" spans="1:18" x14ac:dyDescent="0.25">
      <c r="A3237" t="s">
        <v>441</v>
      </c>
      <c r="B3237" t="s">
        <v>137</v>
      </c>
      <c r="C3237" s="2">
        <f t="shared" ref="C3237:M3237" si="1704">(0.0759181142857143/(0.855510685714286+0.0759181142857143)) * 8.24520222053495%</f>
        <v>6.7204299940843287E-3</v>
      </c>
      <c r="D3237" s="2">
        <f t="shared" si="1704"/>
        <v>6.7204299940843287E-3</v>
      </c>
      <c r="E3237" s="2">
        <f t="shared" si="1704"/>
        <v>6.7204299940843287E-3</v>
      </c>
      <c r="F3237" s="2">
        <f t="shared" si="1704"/>
        <v>6.7204299940843287E-3</v>
      </c>
      <c r="G3237" s="2">
        <f t="shared" si="1704"/>
        <v>6.7204299940843287E-3</v>
      </c>
      <c r="H3237" s="2">
        <f t="shared" si="1704"/>
        <v>6.7204299940843287E-3</v>
      </c>
      <c r="I3237" s="2">
        <f t="shared" si="1704"/>
        <v>6.7204299940843287E-3</v>
      </c>
      <c r="J3237" s="2">
        <f t="shared" si="1704"/>
        <v>6.7204299940843287E-3</v>
      </c>
      <c r="K3237" s="2">
        <f t="shared" si="1704"/>
        <v>6.7204299940843287E-3</v>
      </c>
      <c r="L3237" s="2">
        <f t="shared" si="1704"/>
        <v>6.7204299940843287E-3</v>
      </c>
      <c r="M3237" s="2">
        <f t="shared" si="1704"/>
        <v>6.7204299940843287E-3</v>
      </c>
      <c r="N3237" t="s">
        <v>256</v>
      </c>
      <c r="O3237" t="s">
        <v>440</v>
      </c>
      <c r="P3237" t="s">
        <v>441</v>
      </c>
      <c r="Q3237" t="s">
        <v>245</v>
      </c>
    </row>
    <row r="3238" spans="1:18" x14ac:dyDescent="0.25">
      <c r="A3238" t="s">
        <v>441</v>
      </c>
      <c r="B3238" t="s">
        <v>211</v>
      </c>
      <c r="C3238" s="2">
        <f t="shared" ref="C3238:M3238" si="1705">(0.855510685714286/(0.855510685714286+0.0759181142857143)) * 0.335430447618274%</f>
        <v>3.080904651556398E-3</v>
      </c>
      <c r="D3238" s="2">
        <f t="shared" si="1705"/>
        <v>3.080904651556398E-3</v>
      </c>
      <c r="E3238" s="2">
        <f t="shared" si="1705"/>
        <v>3.080904651556398E-3</v>
      </c>
      <c r="F3238" s="2">
        <f t="shared" si="1705"/>
        <v>3.080904651556398E-3</v>
      </c>
      <c r="G3238" s="2">
        <f t="shared" si="1705"/>
        <v>3.080904651556398E-3</v>
      </c>
      <c r="H3238" s="2">
        <f t="shared" si="1705"/>
        <v>3.080904651556398E-3</v>
      </c>
      <c r="I3238" s="2">
        <f t="shared" si="1705"/>
        <v>3.080904651556398E-3</v>
      </c>
      <c r="J3238" s="2">
        <f t="shared" si="1705"/>
        <v>3.080904651556398E-3</v>
      </c>
      <c r="K3238" s="2">
        <f t="shared" si="1705"/>
        <v>3.080904651556398E-3</v>
      </c>
      <c r="L3238" s="2">
        <f t="shared" si="1705"/>
        <v>3.080904651556398E-3</v>
      </c>
      <c r="M3238" s="2">
        <f t="shared" si="1705"/>
        <v>3.080904651556398E-3</v>
      </c>
      <c r="N3238" t="s">
        <v>242</v>
      </c>
      <c r="O3238" t="s">
        <v>442</v>
      </c>
      <c r="P3238" t="s">
        <v>441</v>
      </c>
      <c r="Q3238" t="s">
        <v>245</v>
      </c>
    </row>
    <row r="3239" spans="1:18" x14ac:dyDescent="0.25">
      <c r="A3239" t="s">
        <v>441</v>
      </c>
      <c r="B3239" t="s">
        <v>211</v>
      </c>
      <c r="C3239" s="2">
        <f t="shared" ref="C3239:M3239" si="1706">(0.0759181142857143/(0.855510685714286+0.0759181142857143)) * 0.335430447618274%</f>
        <v>2.7339982462634205E-4</v>
      </c>
      <c r="D3239" s="2">
        <f t="shared" si="1706"/>
        <v>2.7339982462634205E-4</v>
      </c>
      <c r="E3239" s="2">
        <f t="shared" si="1706"/>
        <v>2.7339982462634205E-4</v>
      </c>
      <c r="F3239" s="2">
        <f t="shared" si="1706"/>
        <v>2.7339982462634205E-4</v>
      </c>
      <c r="G3239" s="2">
        <f t="shared" si="1706"/>
        <v>2.7339982462634205E-4</v>
      </c>
      <c r="H3239" s="2">
        <f t="shared" si="1706"/>
        <v>2.7339982462634205E-4</v>
      </c>
      <c r="I3239" s="2">
        <f t="shared" si="1706"/>
        <v>2.7339982462634205E-4</v>
      </c>
      <c r="J3239" s="2">
        <f t="shared" si="1706"/>
        <v>2.7339982462634205E-4</v>
      </c>
      <c r="K3239" s="2">
        <f t="shared" si="1706"/>
        <v>2.7339982462634205E-4</v>
      </c>
      <c r="L3239" s="2">
        <f t="shared" si="1706"/>
        <v>2.7339982462634205E-4</v>
      </c>
      <c r="M3239" s="2">
        <f t="shared" si="1706"/>
        <v>2.7339982462634205E-4</v>
      </c>
      <c r="N3239" t="s">
        <v>256</v>
      </c>
      <c r="O3239" t="s">
        <v>440</v>
      </c>
      <c r="P3239" t="s">
        <v>441</v>
      </c>
      <c r="Q3239" t="s">
        <v>245</v>
      </c>
    </row>
    <row r="3240" spans="1:18" x14ac:dyDescent="0.25">
      <c r="A3240" t="s">
        <v>441</v>
      </c>
      <c r="B3240" t="s">
        <v>215</v>
      </c>
      <c r="C3240" s="2">
        <f t="shared" ref="C3240:M3240" si="1707">(0.855510685714286/(0.855510685714286+0.0759181142857143)) * 0.00437249278243142%</f>
        <v>4.0161033227431552E-5</v>
      </c>
      <c r="D3240" s="2">
        <f t="shared" si="1707"/>
        <v>4.0161033227431552E-5</v>
      </c>
      <c r="E3240" s="2">
        <f t="shared" si="1707"/>
        <v>4.0161033227431552E-5</v>
      </c>
      <c r="F3240" s="2">
        <f t="shared" si="1707"/>
        <v>4.0161033227431552E-5</v>
      </c>
      <c r="G3240" s="2">
        <f t="shared" si="1707"/>
        <v>4.0161033227431552E-5</v>
      </c>
      <c r="H3240" s="2">
        <f t="shared" si="1707"/>
        <v>4.0161033227431552E-5</v>
      </c>
      <c r="I3240" s="2">
        <f t="shared" si="1707"/>
        <v>4.0161033227431552E-5</v>
      </c>
      <c r="J3240" s="2">
        <f t="shared" si="1707"/>
        <v>4.0161033227431552E-5</v>
      </c>
      <c r="K3240" s="2">
        <f t="shared" si="1707"/>
        <v>4.0161033227431552E-5</v>
      </c>
      <c r="L3240" s="2">
        <f t="shared" si="1707"/>
        <v>4.0161033227431552E-5</v>
      </c>
      <c r="M3240" s="2">
        <f t="shared" si="1707"/>
        <v>4.0161033227431552E-5</v>
      </c>
      <c r="N3240" t="s">
        <v>242</v>
      </c>
      <c r="O3240" t="s">
        <v>442</v>
      </c>
      <c r="P3240" t="s">
        <v>441</v>
      </c>
      <c r="Q3240" t="s">
        <v>245</v>
      </c>
    </row>
    <row r="3241" spans="1:18" x14ac:dyDescent="0.25">
      <c r="A3241" t="s">
        <v>441</v>
      </c>
      <c r="B3241" t="s">
        <v>215</v>
      </c>
      <c r="C3241" s="2">
        <f t="shared" ref="C3241:M3241" si="1708">(0.0759181142857143/(0.855510685714286+0.0759181142857143)) * 0.00437249278243142%</f>
        <v>3.563894596882653E-6</v>
      </c>
      <c r="D3241" s="2">
        <f t="shared" si="1708"/>
        <v>3.563894596882653E-6</v>
      </c>
      <c r="E3241" s="2">
        <f t="shared" si="1708"/>
        <v>3.563894596882653E-6</v>
      </c>
      <c r="F3241" s="2">
        <f t="shared" si="1708"/>
        <v>3.563894596882653E-6</v>
      </c>
      <c r="G3241" s="2">
        <f t="shared" si="1708"/>
        <v>3.563894596882653E-6</v>
      </c>
      <c r="H3241" s="2">
        <f t="shared" si="1708"/>
        <v>3.563894596882653E-6</v>
      </c>
      <c r="I3241" s="2">
        <f t="shared" si="1708"/>
        <v>3.563894596882653E-6</v>
      </c>
      <c r="J3241" s="2">
        <f t="shared" si="1708"/>
        <v>3.563894596882653E-6</v>
      </c>
      <c r="K3241" s="2">
        <f t="shared" si="1708"/>
        <v>3.563894596882653E-6</v>
      </c>
      <c r="L3241" s="2">
        <f t="shared" si="1708"/>
        <v>3.563894596882653E-6</v>
      </c>
      <c r="M3241" s="2">
        <f t="shared" si="1708"/>
        <v>3.563894596882653E-6</v>
      </c>
      <c r="N3241" t="s">
        <v>256</v>
      </c>
      <c r="O3241" t="s">
        <v>440</v>
      </c>
      <c r="P3241" t="s">
        <v>441</v>
      </c>
      <c r="Q3241" t="s">
        <v>245</v>
      </c>
    </row>
    <row r="3242" spans="1:18" x14ac:dyDescent="0.25">
      <c r="A3242" t="s">
        <v>441</v>
      </c>
      <c r="B3242" t="s">
        <v>122</v>
      </c>
      <c r="C3242" s="2">
        <f t="shared" ref="C3242:M3242" si="1709">(0.855510685714286/(0.855510685714286+0.0759181142857143)) * 4.87867873459456%</f>
        <v>4.4810314965703188E-2</v>
      </c>
      <c r="D3242" s="2">
        <f t="shared" si="1709"/>
        <v>4.4810314965703188E-2</v>
      </c>
      <c r="E3242" s="2">
        <f t="shared" si="1709"/>
        <v>4.4810314965703188E-2</v>
      </c>
      <c r="F3242" s="2">
        <f t="shared" si="1709"/>
        <v>4.4810314965703188E-2</v>
      </c>
      <c r="G3242" s="2">
        <f t="shared" si="1709"/>
        <v>4.4810314965703188E-2</v>
      </c>
      <c r="H3242" s="2">
        <f t="shared" si="1709"/>
        <v>4.4810314965703188E-2</v>
      </c>
      <c r="I3242" s="2">
        <f t="shared" si="1709"/>
        <v>4.4810314965703188E-2</v>
      </c>
      <c r="J3242" s="2">
        <f t="shared" si="1709"/>
        <v>4.4810314965703188E-2</v>
      </c>
      <c r="K3242" s="2">
        <f t="shared" si="1709"/>
        <v>4.4810314965703188E-2</v>
      </c>
      <c r="L3242" s="2">
        <f t="shared" si="1709"/>
        <v>4.4810314965703188E-2</v>
      </c>
      <c r="M3242" s="2">
        <f t="shared" si="1709"/>
        <v>4.4810314965703188E-2</v>
      </c>
      <c r="N3242" t="s">
        <v>242</v>
      </c>
      <c r="O3242" t="s">
        <v>442</v>
      </c>
      <c r="P3242" t="s">
        <v>441</v>
      </c>
      <c r="Q3242" t="s">
        <v>245</v>
      </c>
    </row>
    <row r="3243" spans="1:18" x14ac:dyDescent="0.25">
      <c r="A3243" t="s">
        <v>441</v>
      </c>
      <c r="B3243" t="s">
        <v>122</v>
      </c>
      <c r="C3243" s="2">
        <f t="shared" ref="C3243:M3243" si="1710">(0.0759181142857143/(0.855510685714286+0.0759181142857143)) * 4.87867873459456%</f>
        <v>3.9764723802424157E-3</v>
      </c>
      <c r="D3243" s="2">
        <f t="shared" si="1710"/>
        <v>3.9764723802424157E-3</v>
      </c>
      <c r="E3243" s="2">
        <f t="shared" si="1710"/>
        <v>3.9764723802424157E-3</v>
      </c>
      <c r="F3243" s="2">
        <f t="shared" si="1710"/>
        <v>3.9764723802424157E-3</v>
      </c>
      <c r="G3243" s="2">
        <f t="shared" si="1710"/>
        <v>3.9764723802424157E-3</v>
      </c>
      <c r="H3243" s="2">
        <f t="shared" si="1710"/>
        <v>3.9764723802424157E-3</v>
      </c>
      <c r="I3243" s="2">
        <f t="shared" si="1710"/>
        <v>3.9764723802424157E-3</v>
      </c>
      <c r="J3243" s="2">
        <f t="shared" si="1710"/>
        <v>3.9764723802424157E-3</v>
      </c>
      <c r="K3243" s="2">
        <f t="shared" si="1710"/>
        <v>3.9764723802424157E-3</v>
      </c>
      <c r="L3243" s="2">
        <f t="shared" si="1710"/>
        <v>3.9764723802424157E-3</v>
      </c>
      <c r="M3243" s="2">
        <f t="shared" si="1710"/>
        <v>3.9764723802424157E-3</v>
      </c>
      <c r="N3243" t="s">
        <v>256</v>
      </c>
      <c r="O3243" t="s">
        <v>440</v>
      </c>
      <c r="P3243" t="s">
        <v>441</v>
      </c>
      <c r="Q3243" t="s">
        <v>245</v>
      </c>
    </row>
    <row r="3244" spans="1:18" x14ac:dyDescent="0.25">
      <c r="A3244" t="s">
        <v>441</v>
      </c>
      <c r="B3244" s="6" t="s">
        <v>113</v>
      </c>
      <c r="C3244" s="2">
        <f t="shared" ref="C3244:M3244" si="1711">(0.855510685714286/(0.855510685714286+0.0759181142857143)) * 0.570715075088942%</f>
        <v>5.2419771134070677E-3</v>
      </c>
      <c r="D3244" s="2">
        <f t="shared" si="1711"/>
        <v>5.2419771134070677E-3</v>
      </c>
      <c r="E3244" s="2">
        <f t="shared" si="1711"/>
        <v>5.2419771134070677E-3</v>
      </c>
      <c r="F3244" s="2">
        <f t="shared" si="1711"/>
        <v>5.2419771134070677E-3</v>
      </c>
      <c r="G3244" s="2">
        <f t="shared" si="1711"/>
        <v>5.2419771134070677E-3</v>
      </c>
      <c r="H3244" s="2">
        <f t="shared" si="1711"/>
        <v>5.2419771134070677E-3</v>
      </c>
      <c r="I3244" s="2">
        <f t="shared" si="1711"/>
        <v>5.2419771134070677E-3</v>
      </c>
      <c r="J3244" s="2">
        <f t="shared" si="1711"/>
        <v>5.2419771134070677E-3</v>
      </c>
      <c r="K3244" s="2">
        <f t="shared" si="1711"/>
        <v>5.2419771134070677E-3</v>
      </c>
      <c r="L3244" s="2">
        <f t="shared" si="1711"/>
        <v>5.2419771134070677E-3</v>
      </c>
      <c r="M3244" s="2">
        <f t="shared" si="1711"/>
        <v>5.2419771134070677E-3</v>
      </c>
      <c r="N3244" t="s">
        <v>242</v>
      </c>
      <c r="O3244" t="s">
        <v>442</v>
      </c>
      <c r="P3244" t="s">
        <v>441</v>
      </c>
      <c r="Q3244" t="s">
        <v>245</v>
      </c>
    </row>
    <row r="3245" spans="1:18" x14ac:dyDescent="0.25">
      <c r="A3245" t="s">
        <v>441</v>
      </c>
      <c r="B3245" s="6" t="s">
        <v>113</v>
      </c>
      <c r="C3245" s="2">
        <f t="shared" ref="C3245:M3245" si="1712">(0.0759181142857143/(0.855510685714286+0.0759181142857143)) * 0.570715075088942%</f>
        <v>4.6517363748235297E-4</v>
      </c>
      <c r="D3245" s="2">
        <f t="shared" si="1712"/>
        <v>4.6517363748235297E-4</v>
      </c>
      <c r="E3245" s="2">
        <f t="shared" si="1712"/>
        <v>4.6517363748235297E-4</v>
      </c>
      <c r="F3245" s="2">
        <f t="shared" si="1712"/>
        <v>4.6517363748235297E-4</v>
      </c>
      <c r="G3245" s="2">
        <f t="shared" si="1712"/>
        <v>4.6517363748235297E-4</v>
      </c>
      <c r="H3245" s="2">
        <f t="shared" si="1712"/>
        <v>4.6517363748235297E-4</v>
      </c>
      <c r="I3245" s="2">
        <f t="shared" si="1712"/>
        <v>4.6517363748235297E-4</v>
      </c>
      <c r="J3245" s="2">
        <f t="shared" si="1712"/>
        <v>4.6517363748235297E-4</v>
      </c>
      <c r="K3245" s="2">
        <f t="shared" si="1712"/>
        <v>4.6517363748235297E-4</v>
      </c>
      <c r="L3245" s="2">
        <f t="shared" si="1712"/>
        <v>4.6517363748235297E-4</v>
      </c>
      <c r="M3245" s="2">
        <f t="shared" si="1712"/>
        <v>4.6517363748235297E-4</v>
      </c>
      <c r="N3245" t="s">
        <v>256</v>
      </c>
      <c r="O3245" t="s">
        <v>440</v>
      </c>
      <c r="P3245" t="s">
        <v>441</v>
      </c>
      <c r="Q3245" t="s">
        <v>245</v>
      </c>
    </row>
    <row r="3246" spans="1:18" x14ac:dyDescent="0.25">
      <c r="A3246" t="s">
        <v>441</v>
      </c>
      <c r="B3246" t="s">
        <v>115</v>
      </c>
      <c r="C3246" s="2">
        <f t="shared" ref="C3246:M3246" si="1713">(0.855510685714286/(0.855510685714286+0.0759181142857143)) * 3.39370501435238%</f>
        <v>3.1170937638396134E-2</v>
      </c>
      <c r="D3246" s="2">
        <f t="shared" si="1713"/>
        <v>3.1170937638396134E-2</v>
      </c>
      <c r="E3246" s="2">
        <f t="shared" si="1713"/>
        <v>3.1170937638396134E-2</v>
      </c>
      <c r="F3246" s="2">
        <f t="shared" si="1713"/>
        <v>3.1170937638396134E-2</v>
      </c>
      <c r="G3246" s="2">
        <f t="shared" si="1713"/>
        <v>3.1170937638396134E-2</v>
      </c>
      <c r="H3246" s="2">
        <f t="shared" si="1713"/>
        <v>3.1170937638396134E-2</v>
      </c>
      <c r="I3246" s="2">
        <f t="shared" si="1713"/>
        <v>3.1170937638396134E-2</v>
      </c>
      <c r="J3246" s="2">
        <f t="shared" si="1713"/>
        <v>3.1170937638396134E-2</v>
      </c>
      <c r="K3246" s="2">
        <f t="shared" si="1713"/>
        <v>3.1170937638396134E-2</v>
      </c>
      <c r="L3246" s="2">
        <f t="shared" si="1713"/>
        <v>3.1170937638396134E-2</v>
      </c>
      <c r="M3246" s="2">
        <f t="shared" si="1713"/>
        <v>3.1170937638396134E-2</v>
      </c>
      <c r="N3246" t="s">
        <v>242</v>
      </c>
      <c r="O3246" t="s">
        <v>442</v>
      </c>
      <c r="P3246" t="s">
        <v>441</v>
      </c>
      <c r="Q3246" t="s">
        <v>245</v>
      </c>
    </row>
    <row r="3247" spans="1:18" x14ac:dyDescent="0.25">
      <c r="A3247" t="s">
        <v>441</v>
      </c>
      <c r="B3247" t="s">
        <v>115</v>
      </c>
      <c r="C3247" s="2">
        <f t="shared" ref="C3247:M3247" si="1714">(0.0759181142857143/(0.855510685714286+0.0759181142857143)) * 3.39370501435238%</f>
        <v>2.7661125051276661E-3</v>
      </c>
      <c r="D3247" s="2">
        <f t="shared" si="1714"/>
        <v>2.7661125051276661E-3</v>
      </c>
      <c r="E3247" s="2">
        <f t="shared" si="1714"/>
        <v>2.7661125051276661E-3</v>
      </c>
      <c r="F3247" s="2">
        <f t="shared" si="1714"/>
        <v>2.7661125051276661E-3</v>
      </c>
      <c r="G3247" s="2">
        <f t="shared" si="1714"/>
        <v>2.7661125051276661E-3</v>
      </c>
      <c r="H3247" s="2">
        <f t="shared" si="1714"/>
        <v>2.7661125051276661E-3</v>
      </c>
      <c r="I3247" s="2">
        <f t="shared" si="1714"/>
        <v>2.7661125051276661E-3</v>
      </c>
      <c r="J3247" s="2">
        <f t="shared" si="1714"/>
        <v>2.7661125051276661E-3</v>
      </c>
      <c r="K3247" s="2">
        <f t="shared" si="1714"/>
        <v>2.7661125051276661E-3</v>
      </c>
      <c r="L3247" s="2">
        <f t="shared" si="1714"/>
        <v>2.7661125051276661E-3</v>
      </c>
      <c r="M3247" s="2">
        <f t="shared" si="1714"/>
        <v>2.7661125051276661E-3</v>
      </c>
      <c r="N3247" t="s">
        <v>256</v>
      </c>
      <c r="O3247" t="s">
        <v>440</v>
      </c>
      <c r="P3247" t="s">
        <v>441</v>
      </c>
      <c r="Q3247" t="s">
        <v>245</v>
      </c>
    </row>
    <row r="3248" spans="1:18" x14ac:dyDescent="0.25">
      <c r="A3248" t="s">
        <v>444</v>
      </c>
      <c r="B3248" t="s">
        <v>83</v>
      </c>
      <c r="C3248" s="4">
        <f t="shared" ref="C3248:M3248" si="1715">(0.185837691933674/(0.185837691933674+0.337727962317284)) * 33.3949224022984%</f>
        <v>0.11853404155064326</v>
      </c>
      <c r="D3248" s="4">
        <f t="shared" si="1715"/>
        <v>0.11853404155064326</v>
      </c>
      <c r="E3248" s="4">
        <f t="shared" si="1715"/>
        <v>0.11853404155064326</v>
      </c>
      <c r="F3248" s="4">
        <f t="shared" si="1715"/>
        <v>0.11853404155064326</v>
      </c>
      <c r="G3248" s="4">
        <f t="shared" si="1715"/>
        <v>0.11853404155064326</v>
      </c>
      <c r="H3248" s="4">
        <f t="shared" si="1715"/>
        <v>0.11853404155064326</v>
      </c>
      <c r="I3248" s="4">
        <f t="shared" si="1715"/>
        <v>0.11853404155064326</v>
      </c>
      <c r="J3248" s="4">
        <f t="shared" si="1715"/>
        <v>0.11853404155064326</v>
      </c>
      <c r="K3248" s="4">
        <f t="shared" si="1715"/>
        <v>0.11853404155064326</v>
      </c>
      <c r="L3248" s="4">
        <f t="shared" si="1715"/>
        <v>0.11853404155064326</v>
      </c>
      <c r="M3248" s="4">
        <f t="shared" si="1715"/>
        <v>0.11853404155064326</v>
      </c>
      <c r="N3248" t="s">
        <v>307</v>
      </c>
      <c r="O3248" t="s">
        <v>440</v>
      </c>
      <c r="P3248" t="s">
        <v>444</v>
      </c>
      <c r="Q3248" t="s">
        <v>245</v>
      </c>
      <c r="R3248" t="s">
        <v>583</v>
      </c>
    </row>
    <row r="3249" spans="1:18" x14ac:dyDescent="0.25">
      <c r="A3249" t="s">
        <v>444</v>
      </c>
      <c r="B3249" t="s">
        <v>83</v>
      </c>
      <c r="C3249" s="4">
        <f t="shared" ref="C3249:M3249" si="1716">(0.337727962317284/(0.185837691933674+0.337727962317284)) * 33.3949224022984%</f>
        <v>0.2154151824723407</v>
      </c>
      <c r="D3249" s="4">
        <f t="shared" si="1716"/>
        <v>0.2154151824723407</v>
      </c>
      <c r="E3249" s="4">
        <f t="shared" si="1716"/>
        <v>0.2154151824723407</v>
      </c>
      <c r="F3249" s="4">
        <f t="shared" si="1716"/>
        <v>0.2154151824723407</v>
      </c>
      <c r="G3249" s="4">
        <f t="shared" si="1716"/>
        <v>0.2154151824723407</v>
      </c>
      <c r="H3249" s="4">
        <f t="shared" si="1716"/>
        <v>0.2154151824723407</v>
      </c>
      <c r="I3249" s="4">
        <f t="shared" si="1716"/>
        <v>0.2154151824723407</v>
      </c>
      <c r="J3249" s="4">
        <f t="shared" si="1716"/>
        <v>0.2154151824723407</v>
      </c>
      <c r="K3249" s="4">
        <f t="shared" si="1716"/>
        <v>0.2154151824723407</v>
      </c>
      <c r="L3249" s="4">
        <f t="shared" si="1716"/>
        <v>0.2154151824723407</v>
      </c>
      <c r="M3249" s="4">
        <f t="shared" si="1716"/>
        <v>0.2154151824723407</v>
      </c>
      <c r="N3249" t="s">
        <v>307</v>
      </c>
      <c r="O3249" t="s">
        <v>445</v>
      </c>
      <c r="P3249" t="s">
        <v>444</v>
      </c>
      <c r="Q3249" t="s">
        <v>245</v>
      </c>
    </row>
    <row r="3250" spans="1:18" x14ac:dyDescent="0.25">
      <c r="A3250" t="s">
        <v>444</v>
      </c>
      <c r="B3250" t="s">
        <v>85</v>
      </c>
      <c r="C3250" s="4">
        <v>7.6345245551917833E-4</v>
      </c>
      <c r="D3250" s="4">
        <v>7.6345245551917833E-4</v>
      </c>
      <c r="E3250" s="4">
        <v>7.6345245551917833E-4</v>
      </c>
      <c r="F3250" s="4">
        <v>7.6345245551917833E-4</v>
      </c>
      <c r="G3250" s="4">
        <v>7.6345245551917833E-4</v>
      </c>
      <c r="H3250" s="4">
        <v>7.6345245551917833E-4</v>
      </c>
      <c r="I3250" s="4">
        <v>7.6345245551917833E-4</v>
      </c>
      <c r="J3250" s="4">
        <v>7.6345245551917833E-4</v>
      </c>
      <c r="K3250" s="4">
        <v>7.6345245551917833E-4</v>
      </c>
      <c r="L3250" s="4">
        <v>7.6345245551917833E-4</v>
      </c>
      <c r="M3250" s="4">
        <v>7.6345245551917833E-4</v>
      </c>
      <c r="N3250" t="s">
        <v>256</v>
      </c>
      <c r="O3250" t="s">
        <v>440</v>
      </c>
      <c r="P3250" t="s">
        <v>444</v>
      </c>
      <c r="Q3250" t="s">
        <v>245</v>
      </c>
    </row>
    <row r="3251" spans="1:18" x14ac:dyDescent="0.25">
      <c r="A3251" t="s">
        <v>444</v>
      </c>
      <c r="B3251" t="s">
        <v>97</v>
      </c>
      <c r="C3251" s="4">
        <v>1.7715131611696581E-2</v>
      </c>
      <c r="D3251" s="4">
        <v>1.7715131611696581E-2</v>
      </c>
      <c r="E3251" s="4">
        <v>1.7715131611696581E-2</v>
      </c>
      <c r="F3251" s="4">
        <v>1.7715131611696581E-2</v>
      </c>
      <c r="G3251" s="4">
        <v>1.7715131611696581E-2</v>
      </c>
      <c r="H3251" s="4">
        <v>1.7715131611696581E-2</v>
      </c>
      <c r="I3251" s="4">
        <v>1.7715131611696581E-2</v>
      </c>
      <c r="J3251" s="4">
        <v>1.7715131611696581E-2</v>
      </c>
      <c r="K3251" s="4">
        <v>1.7715131611696581E-2</v>
      </c>
      <c r="L3251" s="4">
        <v>1.7715131611696581E-2</v>
      </c>
      <c r="M3251" s="4">
        <v>1.7715131611696581E-2</v>
      </c>
      <c r="N3251" t="s">
        <v>308</v>
      </c>
      <c r="O3251" t="s">
        <v>446</v>
      </c>
      <c r="P3251" t="s">
        <v>444</v>
      </c>
      <c r="Q3251" t="s">
        <v>245</v>
      </c>
    </row>
    <row r="3252" spans="1:18" x14ac:dyDescent="0.25">
      <c r="A3252" t="s">
        <v>444</v>
      </c>
      <c r="B3252" s="6" t="s">
        <v>102</v>
      </c>
      <c r="C3252" s="4">
        <v>8.8111144622331945E-3</v>
      </c>
      <c r="D3252" s="4">
        <v>8.8111144622331945E-3</v>
      </c>
      <c r="E3252" s="4">
        <v>8.8111144622331945E-3</v>
      </c>
      <c r="F3252" s="4">
        <v>8.8111144622331945E-3</v>
      </c>
      <c r="G3252" s="4">
        <v>8.8111144622331945E-3</v>
      </c>
      <c r="H3252" s="4">
        <v>8.8111144622331945E-3</v>
      </c>
      <c r="I3252" s="4">
        <v>8.8111144622331945E-3</v>
      </c>
      <c r="J3252" s="4">
        <v>8.8111144622331945E-3</v>
      </c>
      <c r="K3252" s="4">
        <v>8.8111144622331945E-3</v>
      </c>
      <c r="L3252" s="4">
        <v>8.8111144622331945E-3</v>
      </c>
      <c r="M3252" s="4">
        <v>8.8111144622331945E-3</v>
      </c>
      <c r="N3252" t="s">
        <v>256</v>
      </c>
      <c r="O3252" t="s">
        <v>440</v>
      </c>
      <c r="P3252" t="s">
        <v>444</v>
      </c>
      <c r="Q3252" t="s">
        <v>245</v>
      </c>
    </row>
    <row r="3253" spans="1:18" x14ac:dyDescent="0.25">
      <c r="A3253" t="s">
        <v>444</v>
      </c>
      <c r="B3253" t="s">
        <v>198</v>
      </c>
      <c r="C3253" s="4">
        <v>8.1877081492693293E-2</v>
      </c>
      <c r="D3253" s="4">
        <v>8.1877081492693293E-2</v>
      </c>
      <c r="E3253" s="4">
        <v>8.1877081492693293E-2</v>
      </c>
      <c r="F3253" s="4">
        <v>8.1877081492693293E-2</v>
      </c>
      <c r="G3253" s="4">
        <v>8.1877081492693293E-2</v>
      </c>
      <c r="H3253" s="4">
        <v>8.1877081492693293E-2</v>
      </c>
      <c r="I3253" s="4">
        <v>8.1877081492693293E-2</v>
      </c>
      <c r="J3253" s="4">
        <v>8.1877081492693293E-2</v>
      </c>
      <c r="K3253" s="4">
        <v>8.1877081492693293E-2</v>
      </c>
      <c r="L3253" s="4">
        <v>8.1877081492693293E-2</v>
      </c>
      <c r="M3253" s="4">
        <v>8.1877081492693293E-2</v>
      </c>
      <c r="N3253" t="s">
        <v>256</v>
      </c>
      <c r="O3253" t="s">
        <v>440</v>
      </c>
      <c r="P3253" t="s">
        <v>444</v>
      </c>
      <c r="Q3253" t="s">
        <v>245</v>
      </c>
    </row>
    <row r="3254" spans="1:18" x14ac:dyDescent="0.25">
      <c r="A3254" t="s">
        <v>444</v>
      </c>
      <c r="B3254" t="s">
        <v>141</v>
      </c>
      <c r="C3254" s="4">
        <v>9.4788691640009266E-3</v>
      </c>
      <c r="D3254" s="4">
        <v>9.4788691640009266E-3</v>
      </c>
      <c r="E3254" s="4">
        <v>9.4788691640009266E-3</v>
      </c>
      <c r="F3254" s="4">
        <v>9.4788691640009266E-3</v>
      </c>
      <c r="G3254" s="4">
        <v>9.4788691640009266E-3</v>
      </c>
      <c r="H3254" s="4">
        <v>9.4788691640009266E-3</v>
      </c>
      <c r="I3254" s="4">
        <v>9.4788691640009266E-3</v>
      </c>
      <c r="J3254" s="4">
        <v>9.4788691640009266E-3</v>
      </c>
      <c r="K3254" s="4">
        <v>9.4788691640009266E-3</v>
      </c>
      <c r="L3254" s="4">
        <v>9.4788691640009266E-3</v>
      </c>
      <c r="M3254" s="4">
        <v>9.4788691640009266E-3</v>
      </c>
      <c r="N3254" t="s">
        <v>256</v>
      </c>
      <c r="O3254" t="s">
        <v>440</v>
      </c>
      <c r="P3254" t="s">
        <v>444</v>
      </c>
      <c r="Q3254" t="s">
        <v>245</v>
      </c>
    </row>
    <row r="3255" spans="1:18" x14ac:dyDescent="0.25">
      <c r="A3255" t="s">
        <v>444</v>
      </c>
      <c r="B3255" t="s">
        <v>103</v>
      </c>
      <c r="C3255" s="4">
        <v>8.7844947810784106E-3</v>
      </c>
      <c r="D3255" s="4">
        <v>8.7844947810784106E-3</v>
      </c>
      <c r="E3255" s="4">
        <v>8.7844947810784106E-3</v>
      </c>
      <c r="F3255" s="4">
        <v>8.7844947810784106E-3</v>
      </c>
      <c r="G3255" s="4">
        <v>8.7844947810784106E-3</v>
      </c>
      <c r="H3255" s="4">
        <v>8.7844947810784106E-3</v>
      </c>
      <c r="I3255" s="4">
        <v>8.7844947810784106E-3</v>
      </c>
      <c r="J3255" s="4">
        <v>8.7844947810784106E-3</v>
      </c>
      <c r="K3255" s="4">
        <v>8.7844947810784106E-3</v>
      </c>
      <c r="L3255" s="4">
        <v>8.7844947810784106E-3</v>
      </c>
      <c r="M3255" s="4">
        <v>8.7844947810784106E-3</v>
      </c>
      <c r="N3255" t="s">
        <v>256</v>
      </c>
      <c r="O3255" t="s">
        <v>440</v>
      </c>
      <c r="P3255" t="s">
        <v>444</v>
      </c>
      <c r="Q3255" t="s">
        <v>245</v>
      </c>
    </row>
    <row r="3256" spans="1:18" x14ac:dyDescent="0.25">
      <c r="A3256" t="s">
        <v>444</v>
      </c>
      <c r="B3256" t="s">
        <v>105</v>
      </c>
      <c r="C3256" s="4">
        <v>9.2418209033175835E-3</v>
      </c>
      <c r="D3256" s="4">
        <v>9.2418209033175835E-3</v>
      </c>
      <c r="E3256" s="4">
        <v>9.2418209033175835E-3</v>
      </c>
      <c r="F3256" s="4">
        <v>9.2418209033175835E-3</v>
      </c>
      <c r="G3256" s="4">
        <v>9.2418209033175835E-3</v>
      </c>
      <c r="H3256" s="4">
        <v>9.2418209033175835E-3</v>
      </c>
      <c r="I3256" s="4">
        <v>9.2418209033175835E-3</v>
      </c>
      <c r="J3256" s="4">
        <v>9.2418209033175835E-3</v>
      </c>
      <c r="K3256" s="4">
        <v>9.2418209033175835E-3</v>
      </c>
      <c r="L3256" s="4">
        <v>9.2418209033175835E-3</v>
      </c>
      <c r="M3256" s="4">
        <v>9.2418209033175835E-3</v>
      </c>
      <c r="N3256" t="s">
        <v>256</v>
      </c>
      <c r="O3256" t="s">
        <v>440</v>
      </c>
      <c r="P3256" t="s">
        <v>444</v>
      </c>
      <c r="Q3256" t="s">
        <v>245</v>
      </c>
    </row>
    <row r="3257" spans="1:18" x14ac:dyDescent="0.25">
      <c r="A3257" t="s">
        <v>444</v>
      </c>
      <c r="B3257" t="s">
        <v>109</v>
      </c>
      <c r="C3257" s="4">
        <v>0.16809530058810862</v>
      </c>
      <c r="D3257" s="4">
        <v>0.16809530058810862</v>
      </c>
      <c r="E3257" s="4">
        <v>0.16809530058810862</v>
      </c>
      <c r="F3257" s="4">
        <v>0.16809530058810862</v>
      </c>
      <c r="G3257" s="4">
        <v>0.16809530058810862</v>
      </c>
      <c r="H3257" s="4">
        <v>0.16809530058810862</v>
      </c>
      <c r="I3257" s="4">
        <v>0.16809530058810862</v>
      </c>
      <c r="J3257" s="4">
        <v>0.16809530058810862</v>
      </c>
      <c r="K3257" s="4">
        <v>0.16809530058810862</v>
      </c>
      <c r="L3257" s="4">
        <v>0.16809530058810862</v>
      </c>
      <c r="M3257" s="4">
        <v>0.16809530058810862</v>
      </c>
      <c r="N3257" t="s">
        <v>256</v>
      </c>
      <c r="O3257" t="s">
        <v>440</v>
      </c>
      <c r="P3257" t="s">
        <v>444</v>
      </c>
      <c r="Q3257" t="s">
        <v>245</v>
      </c>
    </row>
    <row r="3258" spans="1:18" x14ac:dyDescent="0.25">
      <c r="A3258" t="s">
        <v>444</v>
      </c>
      <c r="B3258" t="s">
        <v>137</v>
      </c>
      <c r="C3258" s="4">
        <v>0.12849320093413785</v>
      </c>
      <c r="D3258" s="4">
        <v>0.12849320093413785</v>
      </c>
      <c r="E3258" s="4">
        <v>0.12849320093413785</v>
      </c>
      <c r="F3258" s="4">
        <v>0.12849320093413785</v>
      </c>
      <c r="G3258" s="4">
        <v>0.12849320093413785</v>
      </c>
      <c r="H3258" s="4">
        <v>0.12849320093413785</v>
      </c>
      <c r="I3258" s="4">
        <v>0.12849320093413785</v>
      </c>
      <c r="J3258" s="4">
        <v>0.12849320093413785</v>
      </c>
      <c r="K3258" s="4">
        <v>0.12849320093413785</v>
      </c>
      <c r="L3258" s="4">
        <v>0.12849320093413785</v>
      </c>
      <c r="M3258" s="4">
        <v>0.12849320093413785</v>
      </c>
      <c r="N3258" t="s">
        <v>320</v>
      </c>
      <c r="O3258" t="s">
        <v>443</v>
      </c>
      <c r="P3258" t="s">
        <v>444</v>
      </c>
      <c r="Q3258" t="s">
        <v>245</v>
      </c>
    </row>
    <row r="3259" spans="1:18" x14ac:dyDescent="0.25">
      <c r="A3259" t="s">
        <v>444</v>
      </c>
      <c r="B3259" t="s">
        <v>211</v>
      </c>
      <c r="C3259" s="4">
        <v>2.4824183660892949E-3</v>
      </c>
      <c r="D3259" s="4">
        <v>2.4824183660892949E-3</v>
      </c>
      <c r="E3259" s="4">
        <v>2.4824183660892949E-3</v>
      </c>
      <c r="F3259" s="4">
        <v>2.4824183660892949E-3</v>
      </c>
      <c r="G3259" s="4">
        <v>2.4824183660892949E-3</v>
      </c>
      <c r="H3259" s="4">
        <v>2.4824183660892949E-3</v>
      </c>
      <c r="I3259" s="4">
        <v>2.4824183660892949E-3</v>
      </c>
      <c r="J3259" s="4">
        <v>2.4824183660892949E-3</v>
      </c>
      <c r="K3259" s="4">
        <v>2.4824183660892949E-3</v>
      </c>
      <c r="L3259" s="4">
        <v>2.4824183660892949E-3</v>
      </c>
      <c r="M3259" s="4">
        <v>2.4824183660892949E-3</v>
      </c>
      <c r="N3259" t="s">
        <v>256</v>
      </c>
      <c r="O3259" t="s">
        <v>440</v>
      </c>
      <c r="P3259" t="s">
        <v>444</v>
      </c>
      <c r="Q3259" t="s">
        <v>245</v>
      </c>
    </row>
    <row r="3260" spans="1:18" x14ac:dyDescent="0.25">
      <c r="A3260" t="s">
        <v>444</v>
      </c>
      <c r="B3260" t="s">
        <v>122</v>
      </c>
      <c r="C3260" s="4">
        <v>0.13713900717639985</v>
      </c>
      <c r="D3260" s="4">
        <v>0.13713900717639985</v>
      </c>
      <c r="E3260" s="4">
        <v>0.13713900717639985</v>
      </c>
      <c r="F3260" s="4">
        <v>0.13713900717639985</v>
      </c>
      <c r="G3260" s="4">
        <v>0.13713900717639985</v>
      </c>
      <c r="H3260" s="4">
        <v>0.13713900717639985</v>
      </c>
      <c r="I3260" s="4">
        <v>0.13713900717639985</v>
      </c>
      <c r="J3260" s="4">
        <v>0.13713900717639985</v>
      </c>
      <c r="K3260" s="4">
        <v>0.13713900717639985</v>
      </c>
      <c r="L3260" s="4">
        <v>0.13713900717639985</v>
      </c>
      <c r="M3260" s="4">
        <v>0.13713900717639985</v>
      </c>
      <c r="N3260" t="s">
        <v>256</v>
      </c>
      <c r="O3260" t="s">
        <v>440</v>
      </c>
      <c r="P3260" t="s">
        <v>444</v>
      </c>
      <c r="Q3260" t="s">
        <v>245</v>
      </c>
    </row>
    <row r="3261" spans="1:18" x14ac:dyDescent="0.25">
      <c r="A3261" t="s">
        <v>444</v>
      </c>
      <c r="B3261" s="6" t="s">
        <v>113</v>
      </c>
      <c r="C3261" s="4">
        <v>9.3168884041740729E-2</v>
      </c>
      <c r="D3261" s="4">
        <v>9.3168884041740729E-2</v>
      </c>
      <c r="E3261" s="4">
        <v>9.3168884041740729E-2</v>
      </c>
      <c r="F3261" s="4">
        <v>9.3168884041740729E-2</v>
      </c>
      <c r="G3261" s="4">
        <v>9.3168884041740729E-2</v>
      </c>
      <c r="H3261" s="4">
        <v>9.3168884041740729E-2</v>
      </c>
      <c r="I3261" s="4">
        <v>9.3168884041740729E-2</v>
      </c>
      <c r="J3261" s="4">
        <v>9.3168884041740729E-2</v>
      </c>
      <c r="K3261" s="4">
        <v>9.3168884041740729E-2</v>
      </c>
      <c r="L3261" s="4">
        <v>9.3168884041740729E-2</v>
      </c>
      <c r="M3261" s="4">
        <v>9.3168884041740729E-2</v>
      </c>
      <c r="N3261" t="s">
        <v>256</v>
      </c>
      <c r="O3261" t="s">
        <v>440</v>
      </c>
      <c r="P3261" t="s">
        <v>444</v>
      </c>
      <c r="Q3261" t="s">
        <v>245</v>
      </c>
    </row>
    <row r="3262" spans="1:18" x14ac:dyDescent="0.25">
      <c r="A3262" t="s">
        <v>686</v>
      </c>
      <c r="B3262" s="6" t="s">
        <v>86</v>
      </c>
      <c r="C3262" s="35">
        <f t="shared" ref="C3262:M3264" si="1717">51%/0.97</f>
        <v>0.52577319587628868</v>
      </c>
      <c r="D3262" s="35">
        <f t="shared" si="1717"/>
        <v>0.52577319587628868</v>
      </c>
      <c r="E3262" s="35">
        <f t="shared" si="1717"/>
        <v>0.52577319587628868</v>
      </c>
      <c r="F3262" s="35">
        <f t="shared" si="1717"/>
        <v>0.52577319587628868</v>
      </c>
      <c r="G3262" s="35">
        <f t="shared" si="1717"/>
        <v>0.52577319587628868</v>
      </c>
      <c r="H3262" s="35">
        <f t="shared" si="1717"/>
        <v>0.52577319587628868</v>
      </c>
      <c r="I3262" s="35">
        <f t="shared" si="1717"/>
        <v>0.52577319587628868</v>
      </c>
      <c r="J3262" s="35">
        <f t="shared" si="1717"/>
        <v>0.52577319587628868</v>
      </c>
      <c r="K3262" s="35">
        <f t="shared" si="1717"/>
        <v>0.52577319587628868</v>
      </c>
      <c r="L3262" s="35">
        <f t="shared" si="1717"/>
        <v>0.52577319587628868</v>
      </c>
      <c r="M3262" s="35">
        <f t="shared" si="1717"/>
        <v>0.52577319587628868</v>
      </c>
      <c r="N3262" t="s">
        <v>254</v>
      </c>
      <c r="O3262" t="s">
        <v>685</v>
      </c>
      <c r="P3262" t="s">
        <v>686</v>
      </c>
      <c r="Q3262" t="s">
        <v>245</v>
      </c>
      <c r="R3262" t="s">
        <v>687</v>
      </c>
    </row>
    <row r="3263" spans="1:18" x14ac:dyDescent="0.25">
      <c r="A3263" t="s">
        <v>684</v>
      </c>
      <c r="B3263" s="6" t="s">
        <v>86</v>
      </c>
      <c r="C3263" s="35">
        <f t="shared" si="1717"/>
        <v>0.52577319587628868</v>
      </c>
      <c r="D3263" s="35">
        <f t="shared" si="1717"/>
        <v>0.52577319587628868</v>
      </c>
      <c r="E3263" s="35">
        <f t="shared" si="1717"/>
        <v>0.52577319587628868</v>
      </c>
      <c r="F3263" s="35">
        <f t="shared" si="1717"/>
        <v>0.52577319587628868</v>
      </c>
      <c r="G3263" s="35">
        <f t="shared" si="1717"/>
        <v>0.52577319587628868</v>
      </c>
      <c r="H3263" s="35">
        <f t="shared" si="1717"/>
        <v>0.52577319587628868</v>
      </c>
      <c r="I3263" s="35">
        <f t="shared" si="1717"/>
        <v>0.52577319587628868</v>
      </c>
      <c r="J3263" s="35">
        <f t="shared" si="1717"/>
        <v>0.52577319587628868</v>
      </c>
      <c r="K3263" s="35">
        <f t="shared" si="1717"/>
        <v>0.52577319587628868</v>
      </c>
      <c r="L3263" s="35">
        <f t="shared" si="1717"/>
        <v>0.52577319587628868</v>
      </c>
      <c r="M3263" s="35">
        <f t="shared" si="1717"/>
        <v>0.52577319587628868</v>
      </c>
      <c r="N3263" t="s">
        <v>254</v>
      </c>
      <c r="O3263" t="s">
        <v>683</v>
      </c>
      <c r="P3263" t="s">
        <v>684</v>
      </c>
      <c r="Q3263" t="s">
        <v>245</v>
      </c>
      <c r="R3263" t="s">
        <v>687</v>
      </c>
    </row>
    <row r="3264" spans="1:18" x14ac:dyDescent="0.25">
      <c r="A3264" t="s">
        <v>681</v>
      </c>
      <c r="B3264" s="6" t="s">
        <v>86</v>
      </c>
      <c r="C3264" s="4">
        <f t="shared" si="1717"/>
        <v>0.52577319587628868</v>
      </c>
      <c r="D3264" s="4">
        <f t="shared" si="1717"/>
        <v>0.52577319587628868</v>
      </c>
      <c r="E3264" s="4">
        <f t="shared" si="1717"/>
        <v>0.52577319587628868</v>
      </c>
      <c r="F3264" s="4">
        <f t="shared" si="1717"/>
        <v>0.52577319587628868</v>
      </c>
      <c r="G3264" s="4">
        <f t="shared" si="1717"/>
        <v>0.52577319587628868</v>
      </c>
      <c r="H3264" s="4">
        <f t="shared" si="1717"/>
        <v>0.52577319587628868</v>
      </c>
      <c r="I3264" s="4">
        <f t="shared" si="1717"/>
        <v>0.52577319587628868</v>
      </c>
      <c r="J3264" s="4">
        <f t="shared" si="1717"/>
        <v>0.52577319587628868</v>
      </c>
      <c r="K3264" s="4">
        <f t="shared" si="1717"/>
        <v>0.52577319587628868</v>
      </c>
      <c r="L3264" s="4">
        <f t="shared" si="1717"/>
        <v>0.52577319587628868</v>
      </c>
      <c r="M3264" s="4">
        <f t="shared" si="1717"/>
        <v>0.52577319587628868</v>
      </c>
      <c r="N3264" t="s">
        <v>242</v>
      </c>
      <c r="O3264" t="s">
        <v>682</v>
      </c>
      <c r="P3264" t="s">
        <v>681</v>
      </c>
      <c r="Q3264" t="s">
        <v>245</v>
      </c>
    </row>
    <row r="3265" spans="1:18" x14ac:dyDescent="0.25">
      <c r="A3265" t="s">
        <v>686</v>
      </c>
      <c r="B3265" s="6" t="s">
        <v>119</v>
      </c>
      <c r="C3265" s="35">
        <f t="shared" ref="C3265:M3267" si="1718">22%/0.97</f>
        <v>0.22680412371134021</v>
      </c>
      <c r="D3265" s="35">
        <f t="shared" si="1718"/>
        <v>0.22680412371134021</v>
      </c>
      <c r="E3265" s="35">
        <f t="shared" si="1718"/>
        <v>0.22680412371134021</v>
      </c>
      <c r="F3265" s="35">
        <f t="shared" si="1718"/>
        <v>0.22680412371134021</v>
      </c>
      <c r="G3265" s="35">
        <f t="shared" si="1718"/>
        <v>0.22680412371134021</v>
      </c>
      <c r="H3265" s="35">
        <f t="shared" si="1718"/>
        <v>0.22680412371134021</v>
      </c>
      <c r="I3265" s="35">
        <f t="shared" si="1718"/>
        <v>0.22680412371134021</v>
      </c>
      <c r="J3265" s="35">
        <f t="shared" si="1718"/>
        <v>0.22680412371134021</v>
      </c>
      <c r="K3265" s="35">
        <f t="shared" si="1718"/>
        <v>0.22680412371134021</v>
      </c>
      <c r="L3265" s="35">
        <f t="shared" si="1718"/>
        <v>0.22680412371134021</v>
      </c>
      <c r="M3265" s="35">
        <f t="shared" si="1718"/>
        <v>0.22680412371134021</v>
      </c>
      <c r="N3265" t="s">
        <v>321</v>
      </c>
      <c r="O3265" t="s">
        <v>685</v>
      </c>
      <c r="P3265" t="s">
        <v>686</v>
      </c>
      <c r="Q3265" t="s">
        <v>245</v>
      </c>
      <c r="R3265" t="s">
        <v>687</v>
      </c>
    </row>
    <row r="3266" spans="1:18" x14ac:dyDescent="0.25">
      <c r="A3266" t="s">
        <v>684</v>
      </c>
      <c r="B3266" s="6" t="s">
        <v>119</v>
      </c>
      <c r="C3266" s="35">
        <f t="shared" si="1718"/>
        <v>0.22680412371134021</v>
      </c>
      <c r="D3266" s="35">
        <f t="shared" si="1718"/>
        <v>0.22680412371134021</v>
      </c>
      <c r="E3266" s="35">
        <f t="shared" si="1718"/>
        <v>0.22680412371134021</v>
      </c>
      <c r="F3266" s="35">
        <f t="shared" si="1718"/>
        <v>0.22680412371134021</v>
      </c>
      <c r="G3266" s="35">
        <f t="shared" si="1718"/>
        <v>0.22680412371134021</v>
      </c>
      <c r="H3266" s="35">
        <f t="shared" si="1718"/>
        <v>0.22680412371134021</v>
      </c>
      <c r="I3266" s="35">
        <f t="shared" si="1718"/>
        <v>0.22680412371134021</v>
      </c>
      <c r="J3266" s="35">
        <f t="shared" si="1718"/>
        <v>0.22680412371134021</v>
      </c>
      <c r="K3266" s="35">
        <f t="shared" si="1718"/>
        <v>0.22680412371134021</v>
      </c>
      <c r="L3266" s="35">
        <f t="shared" si="1718"/>
        <v>0.22680412371134021</v>
      </c>
      <c r="M3266" s="35">
        <f t="shared" si="1718"/>
        <v>0.22680412371134021</v>
      </c>
      <c r="N3266" t="s">
        <v>321</v>
      </c>
      <c r="O3266" t="s">
        <v>683</v>
      </c>
      <c r="P3266" t="s">
        <v>684</v>
      </c>
      <c r="Q3266" t="s">
        <v>245</v>
      </c>
      <c r="R3266" t="s">
        <v>687</v>
      </c>
    </row>
    <row r="3267" spans="1:18" x14ac:dyDescent="0.25">
      <c r="A3267" t="s">
        <v>681</v>
      </c>
      <c r="B3267" s="6" t="s">
        <v>119</v>
      </c>
      <c r="C3267" s="4">
        <f t="shared" si="1718"/>
        <v>0.22680412371134021</v>
      </c>
      <c r="D3267" s="4">
        <f t="shared" si="1718"/>
        <v>0.22680412371134021</v>
      </c>
      <c r="E3267" s="4">
        <f t="shared" si="1718"/>
        <v>0.22680412371134021</v>
      </c>
      <c r="F3267" s="4">
        <f t="shared" si="1718"/>
        <v>0.22680412371134021</v>
      </c>
      <c r="G3267" s="4">
        <f t="shared" si="1718"/>
        <v>0.22680412371134021</v>
      </c>
      <c r="H3267" s="4">
        <f t="shared" si="1718"/>
        <v>0.22680412371134021</v>
      </c>
      <c r="I3267" s="4">
        <f t="shared" si="1718"/>
        <v>0.22680412371134021</v>
      </c>
      <c r="J3267" s="4">
        <f t="shared" si="1718"/>
        <v>0.22680412371134021</v>
      </c>
      <c r="K3267" s="4">
        <f t="shared" si="1718"/>
        <v>0.22680412371134021</v>
      </c>
      <c r="L3267" s="4">
        <f t="shared" si="1718"/>
        <v>0.22680412371134021</v>
      </c>
      <c r="M3267" s="4">
        <f t="shared" si="1718"/>
        <v>0.22680412371134021</v>
      </c>
      <c r="N3267" t="s">
        <v>242</v>
      </c>
      <c r="O3267" t="s">
        <v>682</v>
      </c>
      <c r="P3267" t="s">
        <v>681</v>
      </c>
      <c r="Q3267" t="s">
        <v>245</v>
      </c>
    </row>
    <row r="3268" spans="1:18" x14ac:dyDescent="0.25">
      <c r="A3268" t="s">
        <v>686</v>
      </c>
      <c r="B3268" s="6" t="s">
        <v>107</v>
      </c>
      <c r="C3268" s="35">
        <f t="shared" ref="C3268:M3270" si="1719">14%/0.97</f>
        <v>0.14432989690721651</v>
      </c>
      <c r="D3268" s="35">
        <f t="shared" si="1719"/>
        <v>0.14432989690721651</v>
      </c>
      <c r="E3268" s="35">
        <f t="shared" si="1719"/>
        <v>0.14432989690721651</v>
      </c>
      <c r="F3268" s="35">
        <f t="shared" si="1719"/>
        <v>0.14432989690721651</v>
      </c>
      <c r="G3268" s="35">
        <f t="shared" si="1719"/>
        <v>0.14432989690721651</v>
      </c>
      <c r="H3268" s="35">
        <f t="shared" si="1719"/>
        <v>0.14432989690721651</v>
      </c>
      <c r="I3268" s="35">
        <f t="shared" si="1719"/>
        <v>0.14432989690721651</v>
      </c>
      <c r="J3268" s="35">
        <f t="shared" si="1719"/>
        <v>0.14432989690721651</v>
      </c>
      <c r="K3268" s="35">
        <f t="shared" si="1719"/>
        <v>0.14432989690721651</v>
      </c>
      <c r="L3268" s="35">
        <f t="shared" si="1719"/>
        <v>0.14432989690721651</v>
      </c>
      <c r="M3268" s="35">
        <f t="shared" si="1719"/>
        <v>0.14432989690721651</v>
      </c>
      <c r="N3268" t="s">
        <v>256</v>
      </c>
      <c r="O3268" t="s">
        <v>685</v>
      </c>
      <c r="P3268" t="s">
        <v>686</v>
      </c>
      <c r="Q3268" t="s">
        <v>245</v>
      </c>
      <c r="R3268" t="s">
        <v>687</v>
      </c>
    </row>
    <row r="3269" spans="1:18" x14ac:dyDescent="0.25">
      <c r="A3269" t="s">
        <v>684</v>
      </c>
      <c r="B3269" s="6" t="s">
        <v>107</v>
      </c>
      <c r="C3269" s="35">
        <f t="shared" si="1719"/>
        <v>0.14432989690721651</v>
      </c>
      <c r="D3269" s="35">
        <f t="shared" si="1719"/>
        <v>0.14432989690721651</v>
      </c>
      <c r="E3269" s="35">
        <f t="shared" si="1719"/>
        <v>0.14432989690721651</v>
      </c>
      <c r="F3269" s="35">
        <f t="shared" si="1719"/>
        <v>0.14432989690721651</v>
      </c>
      <c r="G3269" s="35">
        <f t="shared" si="1719"/>
        <v>0.14432989690721651</v>
      </c>
      <c r="H3269" s="35">
        <f t="shared" si="1719"/>
        <v>0.14432989690721651</v>
      </c>
      <c r="I3269" s="35">
        <f t="shared" si="1719"/>
        <v>0.14432989690721651</v>
      </c>
      <c r="J3269" s="35">
        <f t="shared" si="1719"/>
        <v>0.14432989690721651</v>
      </c>
      <c r="K3269" s="35">
        <f t="shared" si="1719"/>
        <v>0.14432989690721651</v>
      </c>
      <c r="L3269" s="35">
        <f t="shared" si="1719"/>
        <v>0.14432989690721651</v>
      </c>
      <c r="M3269" s="35">
        <f t="shared" si="1719"/>
        <v>0.14432989690721651</v>
      </c>
      <c r="N3269" t="s">
        <v>256</v>
      </c>
      <c r="O3269" t="s">
        <v>683</v>
      </c>
      <c r="P3269" t="s">
        <v>684</v>
      </c>
      <c r="Q3269" t="s">
        <v>245</v>
      </c>
      <c r="R3269" t="s">
        <v>687</v>
      </c>
    </row>
    <row r="3270" spans="1:18" x14ac:dyDescent="0.25">
      <c r="A3270" t="s">
        <v>681</v>
      </c>
      <c r="B3270" s="6" t="s">
        <v>107</v>
      </c>
      <c r="C3270" s="4">
        <f t="shared" si="1719"/>
        <v>0.14432989690721651</v>
      </c>
      <c r="D3270" s="4">
        <f t="shared" si="1719"/>
        <v>0.14432989690721651</v>
      </c>
      <c r="E3270" s="4">
        <f t="shared" si="1719"/>
        <v>0.14432989690721651</v>
      </c>
      <c r="F3270" s="4">
        <f t="shared" si="1719"/>
        <v>0.14432989690721651</v>
      </c>
      <c r="G3270" s="4">
        <f t="shared" si="1719"/>
        <v>0.14432989690721651</v>
      </c>
      <c r="H3270" s="4">
        <f t="shared" si="1719"/>
        <v>0.14432989690721651</v>
      </c>
      <c r="I3270" s="4">
        <f t="shared" si="1719"/>
        <v>0.14432989690721651</v>
      </c>
      <c r="J3270" s="4">
        <f t="shared" si="1719"/>
        <v>0.14432989690721651</v>
      </c>
      <c r="K3270" s="4">
        <f t="shared" si="1719"/>
        <v>0.14432989690721651</v>
      </c>
      <c r="L3270" s="4">
        <f t="shared" si="1719"/>
        <v>0.14432989690721651</v>
      </c>
      <c r="M3270" s="4">
        <f t="shared" si="1719"/>
        <v>0.14432989690721651</v>
      </c>
      <c r="N3270" t="s">
        <v>242</v>
      </c>
      <c r="O3270" t="s">
        <v>682</v>
      </c>
      <c r="P3270" t="s">
        <v>681</v>
      </c>
      <c r="Q3270" t="s">
        <v>245</v>
      </c>
    </row>
    <row r="3271" spans="1:18" x14ac:dyDescent="0.25">
      <c r="A3271" t="s">
        <v>686</v>
      </c>
      <c r="B3271" s="6" t="s">
        <v>102</v>
      </c>
      <c r="C3271" s="35">
        <f t="shared" ref="C3271:M3273" si="1720">7%/0.97</f>
        <v>7.2164948453608255E-2</v>
      </c>
      <c r="D3271" s="35">
        <f t="shared" si="1720"/>
        <v>7.2164948453608255E-2</v>
      </c>
      <c r="E3271" s="35">
        <f t="shared" si="1720"/>
        <v>7.2164948453608255E-2</v>
      </c>
      <c r="F3271" s="35">
        <f t="shared" si="1720"/>
        <v>7.2164948453608255E-2</v>
      </c>
      <c r="G3271" s="35">
        <f t="shared" si="1720"/>
        <v>7.2164948453608255E-2</v>
      </c>
      <c r="H3271" s="35">
        <f t="shared" si="1720"/>
        <v>7.2164948453608255E-2</v>
      </c>
      <c r="I3271" s="35">
        <f t="shared" si="1720"/>
        <v>7.2164948453608255E-2</v>
      </c>
      <c r="J3271" s="35">
        <f t="shared" si="1720"/>
        <v>7.2164948453608255E-2</v>
      </c>
      <c r="K3271" s="35">
        <f t="shared" si="1720"/>
        <v>7.2164948453608255E-2</v>
      </c>
      <c r="L3271" s="35">
        <f t="shared" si="1720"/>
        <v>7.2164948453608255E-2</v>
      </c>
      <c r="M3271" s="35">
        <f t="shared" si="1720"/>
        <v>7.2164948453608255E-2</v>
      </c>
      <c r="N3271" t="s">
        <v>256</v>
      </c>
      <c r="O3271" t="s">
        <v>685</v>
      </c>
      <c r="P3271" t="s">
        <v>686</v>
      </c>
      <c r="Q3271" t="s">
        <v>245</v>
      </c>
      <c r="R3271" t="s">
        <v>687</v>
      </c>
    </row>
    <row r="3272" spans="1:18" x14ac:dyDescent="0.25">
      <c r="A3272" t="s">
        <v>684</v>
      </c>
      <c r="B3272" s="6" t="s">
        <v>102</v>
      </c>
      <c r="C3272" s="35">
        <f t="shared" si="1720"/>
        <v>7.2164948453608255E-2</v>
      </c>
      <c r="D3272" s="35">
        <f t="shared" si="1720"/>
        <v>7.2164948453608255E-2</v>
      </c>
      <c r="E3272" s="35">
        <f t="shared" si="1720"/>
        <v>7.2164948453608255E-2</v>
      </c>
      <c r="F3272" s="35">
        <f t="shared" si="1720"/>
        <v>7.2164948453608255E-2</v>
      </c>
      <c r="G3272" s="35">
        <f t="shared" si="1720"/>
        <v>7.2164948453608255E-2</v>
      </c>
      <c r="H3272" s="35">
        <f t="shared" si="1720"/>
        <v>7.2164948453608255E-2</v>
      </c>
      <c r="I3272" s="35">
        <f t="shared" si="1720"/>
        <v>7.2164948453608255E-2</v>
      </c>
      <c r="J3272" s="35">
        <f t="shared" si="1720"/>
        <v>7.2164948453608255E-2</v>
      </c>
      <c r="K3272" s="35">
        <f t="shared" si="1720"/>
        <v>7.2164948453608255E-2</v>
      </c>
      <c r="L3272" s="35">
        <f t="shared" si="1720"/>
        <v>7.2164948453608255E-2</v>
      </c>
      <c r="M3272" s="35">
        <f t="shared" si="1720"/>
        <v>7.2164948453608255E-2</v>
      </c>
      <c r="N3272" t="s">
        <v>256</v>
      </c>
      <c r="O3272" t="s">
        <v>683</v>
      </c>
      <c r="P3272" t="s">
        <v>684</v>
      </c>
      <c r="Q3272" t="s">
        <v>245</v>
      </c>
      <c r="R3272" t="s">
        <v>687</v>
      </c>
    </row>
    <row r="3273" spans="1:18" x14ac:dyDescent="0.25">
      <c r="A3273" t="s">
        <v>681</v>
      </c>
      <c r="B3273" s="6" t="s">
        <v>102</v>
      </c>
      <c r="C3273" s="4">
        <f t="shared" si="1720"/>
        <v>7.2164948453608255E-2</v>
      </c>
      <c r="D3273" s="4">
        <f t="shared" si="1720"/>
        <v>7.2164948453608255E-2</v>
      </c>
      <c r="E3273" s="4">
        <f t="shared" si="1720"/>
        <v>7.2164948453608255E-2</v>
      </c>
      <c r="F3273" s="4">
        <f t="shared" si="1720"/>
        <v>7.2164948453608255E-2</v>
      </c>
      <c r="G3273" s="4">
        <f t="shared" si="1720"/>
        <v>7.2164948453608255E-2</v>
      </c>
      <c r="H3273" s="4">
        <f t="shared" si="1720"/>
        <v>7.2164948453608255E-2</v>
      </c>
      <c r="I3273" s="4">
        <f t="shared" si="1720"/>
        <v>7.2164948453608255E-2</v>
      </c>
      <c r="J3273" s="4">
        <f t="shared" si="1720"/>
        <v>7.2164948453608255E-2</v>
      </c>
      <c r="K3273" s="4">
        <f t="shared" si="1720"/>
        <v>7.2164948453608255E-2</v>
      </c>
      <c r="L3273" s="4">
        <f t="shared" si="1720"/>
        <v>7.2164948453608255E-2</v>
      </c>
      <c r="M3273" s="4">
        <f t="shared" si="1720"/>
        <v>7.2164948453608255E-2</v>
      </c>
      <c r="N3273" t="s">
        <v>242</v>
      </c>
      <c r="O3273" t="s">
        <v>682</v>
      </c>
      <c r="P3273" t="s">
        <v>681</v>
      </c>
      <c r="Q3273" t="s">
        <v>245</v>
      </c>
    </row>
    <row r="3274" spans="1:18" x14ac:dyDescent="0.25">
      <c r="A3274" t="s">
        <v>686</v>
      </c>
      <c r="B3274" s="6" t="s">
        <v>122</v>
      </c>
      <c r="C3274" s="35">
        <f t="shared" ref="C3274:M3276" si="1721">3%/0.97</f>
        <v>3.0927835051546393E-2</v>
      </c>
      <c r="D3274" s="35">
        <f t="shared" si="1721"/>
        <v>3.0927835051546393E-2</v>
      </c>
      <c r="E3274" s="35">
        <f t="shared" si="1721"/>
        <v>3.0927835051546393E-2</v>
      </c>
      <c r="F3274" s="35">
        <f t="shared" si="1721"/>
        <v>3.0927835051546393E-2</v>
      </c>
      <c r="G3274" s="35">
        <f t="shared" si="1721"/>
        <v>3.0927835051546393E-2</v>
      </c>
      <c r="H3274" s="35">
        <f t="shared" si="1721"/>
        <v>3.0927835051546393E-2</v>
      </c>
      <c r="I3274" s="35">
        <f t="shared" si="1721"/>
        <v>3.0927835051546393E-2</v>
      </c>
      <c r="J3274" s="35">
        <f t="shared" si="1721"/>
        <v>3.0927835051546393E-2</v>
      </c>
      <c r="K3274" s="35">
        <f t="shared" si="1721"/>
        <v>3.0927835051546393E-2</v>
      </c>
      <c r="L3274" s="35">
        <f t="shared" si="1721"/>
        <v>3.0927835051546393E-2</v>
      </c>
      <c r="M3274" s="35">
        <f t="shared" si="1721"/>
        <v>3.0927835051546393E-2</v>
      </c>
      <c r="N3274" t="s">
        <v>256</v>
      </c>
      <c r="O3274" t="s">
        <v>685</v>
      </c>
      <c r="P3274" t="s">
        <v>686</v>
      </c>
      <c r="Q3274" t="s">
        <v>245</v>
      </c>
      <c r="R3274" t="s">
        <v>687</v>
      </c>
    </row>
    <row r="3275" spans="1:18" x14ac:dyDescent="0.25">
      <c r="A3275" t="s">
        <v>684</v>
      </c>
      <c r="B3275" s="6" t="s">
        <v>122</v>
      </c>
      <c r="C3275" s="35">
        <f t="shared" si="1721"/>
        <v>3.0927835051546393E-2</v>
      </c>
      <c r="D3275" s="35">
        <f t="shared" si="1721"/>
        <v>3.0927835051546393E-2</v>
      </c>
      <c r="E3275" s="35">
        <f t="shared" si="1721"/>
        <v>3.0927835051546393E-2</v>
      </c>
      <c r="F3275" s="35">
        <f t="shared" si="1721"/>
        <v>3.0927835051546393E-2</v>
      </c>
      <c r="G3275" s="35">
        <f t="shared" si="1721"/>
        <v>3.0927835051546393E-2</v>
      </c>
      <c r="H3275" s="35">
        <f t="shared" si="1721"/>
        <v>3.0927835051546393E-2</v>
      </c>
      <c r="I3275" s="35">
        <f t="shared" si="1721"/>
        <v>3.0927835051546393E-2</v>
      </c>
      <c r="J3275" s="35">
        <f t="shared" si="1721"/>
        <v>3.0927835051546393E-2</v>
      </c>
      <c r="K3275" s="35">
        <f t="shared" si="1721"/>
        <v>3.0927835051546393E-2</v>
      </c>
      <c r="L3275" s="35">
        <f t="shared" si="1721"/>
        <v>3.0927835051546393E-2</v>
      </c>
      <c r="M3275" s="35">
        <f t="shared" si="1721"/>
        <v>3.0927835051546393E-2</v>
      </c>
      <c r="N3275" t="s">
        <v>256</v>
      </c>
      <c r="O3275" t="s">
        <v>683</v>
      </c>
      <c r="P3275" t="s">
        <v>684</v>
      </c>
      <c r="Q3275" t="s">
        <v>245</v>
      </c>
      <c r="R3275" t="s">
        <v>687</v>
      </c>
    </row>
    <row r="3276" spans="1:18" x14ac:dyDescent="0.25">
      <c r="A3276" t="s">
        <v>681</v>
      </c>
      <c r="B3276" s="6" t="s">
        <v>122</v>
      </c>
      <c r="C3276" s="4">
        <f t="shared" si="1721"/>
        <v>3.0927835051546393E-2</v>
      </c>
      <c r="D3276" s="4">
        <f t="shared" si="1721"/>
        <v>3.0927835051546393E-2</v>
      </c>
      <c r="E3276" s="4">
        <f t="shared" si="1721"/>
        <v>3.0927835051546393E-2</v>
      </c>
      <c r="F3276" s="4">
        <f t="shared" si="1721"/>
        <v>3.0927835051546393E-2</v>
      </c>
      <c r="G3276" s="4">
        <f t="shared" si="1721"/>
        <v>3.0927835051546393E-2</v>
      </c>
      <c r="H3276" s="4">
        <f t="shared" si="1721"/>
        <v>3.0927835051546393E-2</v>
      </c>
      <c r="I3276" s="4">
        <f t="shared" si="1721"/>
        <v>3.0927835051546393E-2</v>
      </c>
      <c r="J3276" s="4">
        <f t="shared" si="1721"/>
        <v>3.0927835051546393E-2</v>
      </c>
      <c r="K3276" s="4">
        <f t="shared" si="1721"/>
        <v>3.0927835051546393E-2</v>
      </c>
      <c r="L3276" s="4">
        <f t="shared" si="1721"/>
        <v>3.0927835051546393E-2</v>
      </c>
      <c r="M3276" s="4">
        <f t="shared" si="1721"/>
        <v>3.0927835051546393E-2</v>
      </c>
      <c r="N3276" t="s">
        <v>242</v>
      </c>
      <c r="O3276" t="s">
        <v>682</v>
      </c>
      <c r="P3276" t="s">
        <v>681</v>
      </c>
      <c r="Q3276" t="s">
        <v>245</v>
      </c>
    </row>
    <row r="3277" spans="1:18" x14ac:dyDescent="0.25">
      <c r="A3277" t="s">
        <v>408</v>
      </c>
      <c r="B3277" t="s">
        <v>83</v>
      </c>
      <c r="C3277" s="4">
        <v>5.5796098736776322E-5</v>
      </c>
      <c r="D3277" s="4">
        <v>5.5796098736776322E-5</v>
      </c>
      <c r="E3277" s="4">
        <v>5.5796098736776322E-5</v>
      </c>
      <c r="F3277" s="4">
        <v>5.5796098736776322E-5</v>
      </c>
      <c r="G3277" s="4">
        <v>5.5796098736776322E-5</v>
      </c>
      <c r="H3277" s="4">
        <v>5.5796098736776322E-5</v>
      </c>
      <c r="I3277" s="4">
        <v>5.5796098736776322E-5</v>
      </c>
      <c r="J3277" s="4">
        <v>5.5796098736776322E-5</v>
      </c>
      <c r="K3277" s="4">
        <v>5.5796098736776322E-5</v>
      </c>
      <c r="L3277" s="4">
        <v>5.5796098736776322E-5</v>
      </c>
      <c r="M3277" s="4">
        <v>5.5796098736776322E-5</v>
      </c>
      <c r="N3277" t="s">
        <v>256</v>
      </c>
      <c r="O3277" t="s">
        <v>407</v>
      </c>
      <c r="P3277" t="s">
        <v>408</v>
      </c>
      <c r="Q3277" t="s">
        <v>245</v>
      </c>
      <c r="R3277" t="s">
        <v>406</v>
      </c>
    </row>
    <row r="3278" spans="1:18" x14ac:dyDescent="0.25">
      <c r="A3278" t="s">
        <v>408</v>
      </c>
      <c r="B3278" t="s">
        <v>181</v>
      </c>
      <c r="C3278" s="4">
        <v>1.030665535865732E-2</v>
      </c>
      <c r="D3278" s="4">
        <v>1.030665535865732E-2</v>
      </c>
      <c r="E3278" s="4">
        <v>1.030665535865732E-2</v>
      </c>
      <c r="F3278" s="4">
        <v>1.030665535865732E-2</v>
      </c>
      <c r="G3278" s="4">
        <v>1.030665535865732E-2</v>
      </c>
      <c r="H3278" s="4">
        <v>1.030665535865732E-2</v>
      </c>
      <c r="I3278" s="4">
        <v>1.030665535865732E-2</v>
      </c>
      <c r="J3278" s="4">
        <v>1.030665535865732E-2</v>
      </c>
      <c r="K3278" s="4">
        <v>1.030665535865732E-2</v>
      </c>
      <c r="L3278" s="4">
        <v>1.030665535865732E-2</v>
      </c>
      <c r="M3278" s="4">
        <v>1.030665535865732E-2</v>
      </c>
      <c r="N3278" t="s">
        <v>256</v>
      </c>
      <c r="O3278" t="s">
        <v>407</v>
      </c>
      <c r="P3278" t="s">
        <v>408</v>
      </c>
      <c r="Q3278" t="s">
        <v>245</v>
      </c>
      <c r="R3278" t="s">
        <v>584</v>
      </c>
    </row>
    <row r="3279" spans="1:18" x14ac:dyDescent="0.25">
      <c r="A3279" t="s">
        <v>408</v>
      </c>
      <c r="B3279" t="s">
        <v>144</v>
      </c>
      <c r="C3279" s="4">
        <v>1.083783421863143E-2</v>
      </c>
      <c r="D3279" s="4">
        <v>1.083783421863143E-2</v>
      </c>
      <c r="E3279" s="4">
        <v>1.083783421863143E-2</v>
      </c>
      <c r="F3279" s="4">
        <v>1.083783421863143E-2</v>
      </c>
      <c r="G3279" s="4">
        <v>1.083783421863143E-2</v>
      </c>
      <c r="H3279" s="4">
        <v>1.083783421863143E-2</v>
      </c>
      <c r="I3279" s="4">
        <v>1.083783421863143E-2</v>
      </c>
      <c r="J3279" s="4">
        <v>1.083783421863143E-2</v>
      </c>
      <c r="K3279" s="4">
        <v>1.083783421863143E-2</v>
      </c>
      <c r="L3279" s="4">
        <v>1.083783421863143E-2</v>
      </c>
      <c r="M3279" s="4">
        <v>1.083783421863143E-2</v>
      </c>
      <c r="N3279" t="s">
        <v>256</v>
      </c>
      <c r="O3279" t="s">
        <v>407</v>
      </c>
      <c r="P3279" t="s">
        <v>408</v>
      </c>
      <c r="Q3279" t="s">
        <v>245</v>
      </c>
    </row>
    <row r="3280" spans="1:18" x14ac:dyDescent="0.25">
      <c r="A3280" t="s">
        <v>408</v>
      </c>
      <c r="B3280" t="s">
        <v>85</v>
      </c>
      <c r="C3280" s="4">
        <v>4.4882381823862878E-3</v>
      </c>
      <c r="D3280" s="4">
        <v>4.4882381823862878E-3</v>
      </c>
      <c r="E3280" s="4">
        <v>4.4882381823862878E-3</v>
      </c>
      <c r="F3280" s="4">
        <v>4.4882381823862878E-3</v>
      </c>
      <c r="G3280" s="4">
        <v>4.4882381823862878E-3</v>
      </c>
      <c r="H3280" s="4">
        <v>4.4882381823862878E-3</v>
      </c>
      <c r="I3280" s="4">
        <v>4.4882381823862878E-3</v>
      </c>
      <c r="J3280" s="4">
        <v>4.4882381823862878E-3</v>
      </c>
      <c r="K3280" s="4">
        <v>4.4882381823862878E-3</v>
      </c>
      <c r="L3280" s="4">
        <v>4.4882381823862878E-3</v>
      </c>
      <c r="M3280" s="4">
        <v>4.4882381823862878E-3</v>
      </c>
      <c r="N3280" t="s">
        <v>256</v>
      </c>
      <c r="O3280" t="s">
        <v>407</v>
      </c>
      <c r="P3280" t="s">
        <v>408</v>
      </c>
      <c r="Q3280" t="s">
        <v>245</v>
      </c>
    </row>
    <row r="3281" spans="1:17" x14ac:dyDescent="0.25">
      <c r="A3281" t="s">
        <v>408</v>
      </c>
      <c r="B3281" t="s">
        <v>187</v>
      </c>
      <c r="C3281" s="4">
        <v>1.798866223273669E-3</v>
      </c>
      <c r="D3281" s="4">
        <v>1.798866223273669E-3</v>
      </c>
      <c r="E3281" s="4">
        <v>1.798866223273669E-3</v>
      </c>
      <c r="F3281" s="4">
        <v>1.798866223273669E-3</v>
      </c>
      <c r="G3281" s="4">
        <v>1.798866223273669E-3</v>
      </c>
      <c r="H3281" s="4">
        <v>1.798866223273669E-3</v>
      </c>
      <c r="I3281" s="4">
        <v>1.798866223273669E-3</v>
      </c>
      <c r="J3281" s="4">
        <v>1.798866223273669E-3</v>
      </c>
      <c r="K3281" s="4">
        <v>1.798866223273669E-3</v>
      </c>
      <c r="L3281" s="4">
        <v>1.798866223273669E-3</v>
      </c>
      <c r="M3281" s="4">
        <v>1.798866223273669E-3</v>
      </c>
      <c r="N3281" t="s">
        <v>256</v>
      </c>
      <c r="O3281" t="s">
        <v>407</v>
      </c>
      <c r="P3281" t="s">
        <v>408</v>
      </c>
      <c r="Q3281" t="s">
        <v>245</v>
      </c>
    </row>
    <row r="3282" spans="1:17" x14ac:dyDescent="0.25">
      <c r="A3282" t="s">
        <v>408</v>
      </c>
      <c r="B3282" t="s">
        <v>86</v>
      </c>
      <c r="C3282" s="4">
        <v>0.80315582734455204</v>
      </c>
      <c r="D3282" s="4">
        <v>0.80315582734455204</v>
      </c>
      <c r="E3282" s="4">
        <v>0.80315582734455204</v>
      </c>
      <c r="F3282" s="4">
        <v>0.80315582734455204</v>
      </c>
      <c r="G3282" s="4">
        <v>0.80315582734455204</v>
      </c>
      <c r="H3282" s="4">
        <v>0.80315582734455204</v>
      </c>
      <c r="I3282" s="4">
        <v>0.80315582734455204</v>
      </c>
      <c r="J3282" s="4">
        <v>0.80315582734455204</v>
      </c>
      <c r="K3282" s="4">
        <v>0.80315582734455204</v>
      </c>
      <c r="L3282" s="4">
        <v>0.80315582734455204</v>
      </c>
      <c r="M3282" s="4">
        <v>0.80315582734455204</v>
      </c>
      <c r="N3282" t="s">
        <v>254</v>
      </c>
      <c r="O3282" t="s">
        <v>407</v>
      </c>
      <c r="P3282" t="s">
        <v>408</v>
      </c>
      <c r="Q3282" t="s">
        <v>245</v>
      </c>
    </row>
    <row r="3283" spans="1:17" x14ac:dyDescent="0.25">
      <c r="A3283" t="s">
        <v>408</v>
      </c>
      <c r="B3283" t="s">
        <v>159</v>
      </c>
      <c r="C3283" s="4">
        <v>1.986341115029237E-3</v>
      </c>
      <c r="D3283" s="4">
        <v>1.986341115029237E-3</v>
      </c>
      <c r="E3283" s="4">
        <v>1.986341115029237E-3</v>
      </c>
      <c r="F3283" s="4">
        <v>1.986341115029237E-3</v>
      </c>
      <c r="G3283" s="4">
        <v>1.986341115029237E-3</v>
      </c>
      <c r="H3283" s="4">
        <v>1.986341115029237E-3</v>
      </c>
      <c r="I3283" s="4">
        <v>1.986341115029237E-3</v>
      </c>
      <c r="J3283" s="4">
        <v>1.986341115029237E-3</v>
      </c>
      <c r="K3283" s="4">
        <v>1.986341115029237E-3</v>
      </c>
      <c r="L3283" s="4">
        <v>1.986341115029237E-3</v>
      </c>
      <c r="M3283" s="4">
        <v>1.986341115029237E-3</v>
      </c>
      <c r="N3283" t="s">
        <v>256</v>
      </c>
      <c r="O3283" t="s">
        <v>407</v>
      </c>
      <c r="P3283" t="s">
        <v>408</v>
      </c>
      <c r="Q3283" t="s">
        <v>245</v>
      </c>
    </row>
    <row r="3284" spans="1:17" x14ac:dyDescent="0.25">
      <c r="A3284" t="s">
        <v>408</v>
      </c>
      <c r="B3284" t="s">
        <v>149</v>
      </c>
      <c r="C3284" s="4">
        <v>9.958487702539839E-3</v>
      </c>
      <c r="D3284" s="4">
        <v>9.958487702539839E-3</v>
      </c>
      <c r="E3284" s="4">
        <v>9.958487702539839E-3</v>
      </c>
      <c r="F3284" s="4">
        <v>9.958487702539839E-3</v>
      </c>
      <c r="G3284" s="4">
        <v>9.958487702539839E-3</v>
      </c>
      <c r="H3284" s="4">
        <v>9.958487702539839E-3</v>
      </c>
      <c r="I3284" s="4">
        <v>9.958487702539839E-3</v>
      </c>
      <c r="J3284" s="4">
        <v>9.958487702539839E-3</v>
      </c>
      <c r="K3284" s="4">
        <v>9.958487702539839E-3</v>
      </c>
      <c r="L3284" s="4">
        <v>9.958487702539839E-3</v>
      </c>
      <c r="M3284" s="4">
        <v>9.958487702539839E-3</v>
      </c>
      <c r="N3284" t="s">
        <v>256</v>
      </c>
      <c r="O3284" t="s">
        <v>407</v>
      </c>
      <c r="P3284" t="s">
        <v>408</v>
      </c>
      <c r="Q3284" t="s">
        <v>245</v>
      </c>
    </row>
    <row r="3285" spans="1:17" x14ac:dyDescent="0.25">
      <c r="A3285" t="s">
        <v>408</v>
      </c>
      <c r="B3285" t="s">
        <v>170</v>
      </c>
      <c r="C3285" s="4">
        <v>1.115921974735526E-3</v>
      </c>
      <c r="D3285" s="4">
        <v>1.115921974735526E-3</v>
      </c>
      <c r="E3285" s="4">
        <v>1.115921974735526E-3</v>
      </c>
      <c r="F3285" s="4">
        <v>1.115921974735526E-3</v>
      </c>
      <c r="G3285" s="4">
        <v>1.115921974735526E-3</v>
      </c>
      <c r="H3285" s="4">
        <v>1.115921974735526E-3</v>
      </c>
      <c r="I3285" s="4">
        <v>1.115921974735526E-3</v>
      </c>
      <c r="J3285" s="4">
        <v>1.115921974735526E-3</v>
      </c>
      <c r="K3285" s="4">
        <v>1.115921974735526E-3</v>
      </c>
      <c r="L3285" s="4">
        <v>1.115921974735526E-3</v>
      </c>
      <c r="M3285" s="4">
        <v>1.115921974735526E-3</v>
      </c>
      <c r="N3285" t="s">
        <v>256</v>
      </c>
      <c r="O3285" t="s">
        <v>407</v>
      </c>
      <c r="P3285" t="s">
        <v>408</v>
      </c>
      <c r="Q3285" t="s">
        <v>245</v>
      </c>
    </row>
    <row r="3286" spans="1:17" x14ac:dyDescent="0.25">
      <c r="A3286" t="s">
        <v>408</v>
      </c>
      <c r="B3286" t="s">
        <v>150</v>
      </c>
      <c r="C3286" s="4">
        <v>2.9460340133017899E-4</v>
      </c>
      <c r="D3286" s="4">
        <v>2.9460340133017899E-4</v>
      </c>
      <c r="E3286" s="4">
        <v>2.9460340133017899E-4</v>
      </c>
      <c r="F3286" s="4">
        <v>2.9460340133017899E-4</v>
      </c>
      <c r="G3286" s="4">
        <v>2.9460340133017899E-4</v>
      </c>
      <c r="H3286" s="4">
        <v>2.9460340133017899E-4</v>
      </c>
      <c r="I3286" s="4">
        <v>2.9460340133017899E-4</v>
      </c>
      <c r="J3286" s="4">
        <v>2.9460340133017899E-4</v>
      </c>
      <c r="K3286" s="4">
        <v>2.9460340133017899E-4</v>
      </c>
      <c r="L3286" s="4">
        <v>2.9460340133017899E-4</v>
      </c>
      <c r="M3286" s="4">
        <v>2.9460340133017899E-4</v>
      </c>
      <c r="N3286" t="s">
        <v>256</v>
      </c>
      <c r="O3286" t="s">
        <v>407</v>
      </c>
      <c r="P3286" t="s">
        <v>408</v>
      </c>
      <c r="Q3286" t="s">
        <v>245</v>
      </c>
    </row>
    <row r="3287" spans="1:17" x14ac:dyDescent="0.25">
      <c r="A3287" t="s">
        <v>408</v>
      </c>
      <c r="B3287" t="s">
        <v>173</v>
      </c>
      <c r="C3287" s="4">
        <v>3.901263223675401E-3</v>
      </c>
      <c r="D3287" s="4">
        <v>3.901263223675401E-3</v>
      </c>
      <c r="E3287" s="4">
        <v>3.901263223675401E-3</v>
      </c>
      <c r="F3287" s="4">
        <v>3.901263223675401E-3</v>
      </c>
      <c r="G3287" s="4">
        <v>3.901263223675401E-3</v>
      </c>
      <c r="H3287" s="4">
        <v>3.901263223675401E-3</v>
      </c>
      <c r="I3287" s="4">
        <v>3.901263223675401E-3</v>
      </c>
      <c r="J3287" s="4">
        <v>3.901263223675401E-3</v>
      </c>
      <c r="K3287" s="4">
        <v>3.901263223675401E-3</v>
      </c>
      <c r="L3287" s="4">
        <v>3.901263223675401E-3</v>
      </c>
      <c r="M3287" s="4">
        <v>3.901263223675401E-3</v>
      </c>
      <c r="N3287" t="s">
        <v>256</v>
      </c>
      <c r="O3287" t="s">
        <v>407</v>
      </c>
      <c r="P3287" t="s">
        <v>408</v>
      </c>
      <c r="Q3287" t="s">
        <v>245</v>
      </c>
    </row>
    <row r="3288" spans="1:17" x14ac:dyDescent="0.25">
      <c r="A3288" t="s">
        <v>408</v>
      </c>
      <c r="B3288" t="s">
        <v>174</v>
      </c>
      <c r="C3288" s="4">
        <v>2.1961344462795161E-3</v>
      </c>
      <c r="D3288" s="4">
        <v>2.1961344462795161E-3</v>
      </c>
      <c r="E3288" s="4">
        <v>2.1961344462795161E-3</v>
      </c>
      <c r="F3288" s="4">
        <v>2.1961344462795161E-3</v>
      </c>
      <c r="G3288" s="4">
        <v>2.1961344462795161E-3</v>
      </c>
      <c r="H3288" s="4">
        <v>2.1961344462795161E-3</v>
      </c>
      <c r="I3288" s="4">
        <v>2.1961344462795161E-3</v>
      </c>
      <c r="J3288" s="4">
        <v>2.1961344462795161E-3</v>
      </c>
      <c r="K3288" s="4">
        <v>2.1961344462795161E-3</v>
      </c>
      <c r="L3288" s="4">
        <v>2.1961344462795161E-3</v>
      </c>
      <c r="M3288" s="4">
        <v>2.1961344462795161E-3</v>
      </c>
      <c r="N3288" t="s">
        <v>256</v>
      </c>
      <c r="O3288" t="s">
        <v>407</v>
      </c>
      <c r="P3288" t="s">
        <v>408</v>
      </c>
      <c r="Q3288" t="s">
        <v>245</v>
      </c>
    </row>
    <row r="3289" spans="1:17" x14ac:dyDescent="0.25">
      <c r="A3289" t="s">
        <v>408</v>
      </c>
      <c r="B3289" t="s">
        <v>203</v>
      </c>
      <c r="C3289" s="4">
        <v>2.7674864973441059E-4</v>
      </c>
      <c r="D3289" s="4">
        <v>2.7674864973441059E-4</v>
      </c>
      <c r="E3289" s="4">
        <v>2.7674864973441059E-4</v>
      </c>
      <c r="F3289" s="4">
        <v>2.7674864973441059E-4</v>
      </c>
      <c r="G3289" s="4">
        <v>2.7674864973441059E-4</v>
      </c>
      <c r="H3289" s="4">
        <v>2.7674864973441059E-4</v>
      </c>
      <c r="I3289" s="4">
        <v>2.7674864973441059E-4</v>
      </c>
      <c r="J3289" s="4">
        <v>2.7674864973441059E-4</v>
      </c>
      <c r="K3289" s="4">
        <v>2.7674864973441059E-4</v>
      </c>
      <c r="L3289" s="4">
        <v>2.7674864973441059E-4</v>
      </c>
      <c r="M3289" s="4">
        <v>2.7674864973441059E-4</v>
      </c>
      <c r="N3289" t="s">
        <v>256</v>
      </c>
      <c r="O3289" t="s">
        <v>407</v>
      </c>
      <c r="P3289" t="s">
        <v>408</v>
      </c>
      <c r="Q3289" t="s">
        <v>245</v>
      </c>
    </row>
    <row r="3290" spans="1:17" x14ac:dyDescent="0.25">
      <c r="A3290" t="s">
        <v>408</v>
      </c>
      <c r="B3290" t="s">
        <v>178</v>
      </c>
      <c r="C3290" s="4">
        <v>6.5593893674954244E-3</v>
      </c>
      <c r="D3290" s="4">
        <v>6.5593893674954244E-3</v>
      </c>
      <c r="E3290" s="4">
        <v>6.5593893674954244E-3</v>
      </c>
      <c r="F3290" s="4">
        <v>6.5593893674954244E-3</v>
      </c>
      <c r="G3290" s="4">
        <v>6.5593893674954244E-3</v>
      </c>
      <c r="H3290" s="4">
        <v>6.5593893674954244E-3</v>
      </c>
      <c r="I3290" s="4">
        <v>6.5593893674954244E-3</v>
      </c>
      <c r="J3290" s="4">
        <v>6.5593893674954244E-3</v>
      </c>
      <c r="K3290" s="4">
        <v>6.5593893674954244E-3</v>
      </c>
      <c r="L3290" s="4">
        <v>6.5593893674954244E-3</v>
      </c>
      <c r="M3290" s="4">
        <v>6.5593893674954244E-3</v>
      </c>
      <c r="N3290" t="s">
        <v>256</v>
      </c>
      <c r="O3290" t="s">
        <v>407</v>
      </c>
      <c r="P3290" t="s">
        <v>408</v>
      </c>
      <c r="Q3290" t="s">
        <v>245</v>
      </c>
    </row>
    <row r="3291" spans="1:17" x14ac:dyDescent="0.25">
      <c r="A3291" t="s">
        <v>408</v>
      </c>
      <c r="B3291" t="s">
        <v>107</v>
      </c>
      <c r="C3291" s="4">
        <v>2.913002722849618E-2</v>
      </c>
      <c r="D3291" s="4">
        <v>2.913002722849618E-2</v>
      </c>
      <c r="E3291" s="4">
        <v>2.913002722849618E-2</v>
      </c>
      <c r="F3291" s="4">
        <v>2.913002722849618E-2</v>
      </c>
      <c r="G3291" s="4">
        <v>2.913002722849618E-2</v>
      </c>
      <c r="H3291" s="4">
        <v>2.913002722849618E-2</v>
      </c>
      <c r="I3291" s="4">
        <v>2.913002722849618E-2</v>
      </c>
      <c r="J3291" s="4">
        <v>2.913002722849618E-2</v>
      </c>
      <c r="K3291" s="4">
        <v>2.913002722849618E-2</v>
      </c>
      <c r="L3291" s="4">
        <v>2.913002722849618E-2</v>
      </c>
      <c r="M3291" s="4">
        <v>2.913002722849618E-2</v>
      </c>
      <c r="N3291" t="s">
        <v>256</v>
      </c>
      <c r="O3291" t="s">
        <v>407</v>
      </c>
      <c r="P3291" t="s">
        <v>408</v>
      </c>
      <c r="Q3291" t="s">
        <v>245</v>
      </c>
    </row>
    <row r="3292" spans="1:17" x14ac:dyDescent="0.25">
      <c r="A3292" t="s">
        <v>408</v>
      </c>
      <c r="B3292" t="s">
        <v>204</v>
      </c>
      <c r="C3292" s="4">
        <v>1.2292996473686559E-2</v>
      </c>
      <c r="D3292" s="4">
        <v>1.2292996473686559E-2</v>
      </c>
      <c r="E3292" s="4">
        <v>1.2292996473686559E-2</v>
      </c>
      <c r="F3292" s="4">
        <v>1.2292996473686559E-2</v>
      </c>
      <c r="G3292" s="4">
        <v>1.2292996473686559E-2</v>
      </c>
      <c r="H3292" s="4">
        <v>1.2292996473686559E-2</v>
      </c>
      <c r="I3292" s="4">
        <v>1.2292996473686559E-2</v>
      </c>
      <c r="J3292" s="4">
        <v>1.2292996473686559E-2</v>
      </c>
      <c r="K3292" s="4">
        <v>1.2292996473686559E-2</v>
      </c>
      <c r="L3292" s="4">
        <v>1.2292996473686559E-2</v>
      </c>
      <c r="M3292" s="4">
        <v>1.2292996473686559E-2</v>
      </c>
      <c r="N3292" t="s">
        <v>256</v>
      </c>
      <c r="O3292" t="s">
        <v>407</v>
      </c>
      <c r="P3292" t="s">
        <v>408</v>
      </c>
      <c r="Q3292" t="s">
        <v>245</v>
      </c>
    </row>
    <row r="3293" spans="1:17" x14ac:dyDescent="0.25">
      <c r="A3293" t="s">
        <v>408</v>
      </c>
      <c r="B3293" t="s">
        <v>121</v>
      </c>
      <c r="C3293" s="4">
        <v>6.0594563228139088E-3</v>
      </c>
      <c r="D3293" s="4">
        <v>6.0594563228139088E-3</v>
      </c>
      <c r="E3293" s="4">
        <v>6.0594563228139088E-3</v>
      </c>
      <c r="F3293" s="4">
        <v>6.0594563228139088E-3</v>
      </c>
      <c r="G3293" s="4">
        <v>6.0594563228139088E-3</v>
      </c>
      <c r="H3293" s="4">
        <v>6.0594563228139088E-3</v>
      </c>
      <c r="I3293" s="4">
        <v>6.0594563228139088E-3</v>
      </c>
      <c r="J3293" s="4">
        <v>6.0594563228139088E-3</v>
      </c>
      <c r="K3293" s="4">
        <v>6.0594563228139088E-3</v>
      </c>
      <c r="L3293" s="4">
        <v>6.0594563228139088E-3</v>
      </c>
      <c r="M3293" s="4">
        <v>6.0594563228139088E-3</v>
      </c>
      <c r="N3293" t="s">
        <v>256</v>
      </c>
      <c r="O3293" t="s">
        <v>407</v>
      </c>
      <c r="P3293" t="s">
        <v>408</v>
      </c>
      <c r="Q3293" t="s">
        <v>245</v>
      </c>
    </row>
    <row r="3294" spans="1:17" x14ac:dyDescent="0.25">
      <c r="A3294" t="s">
        <v>408</v>
      </c>
      <c r="B3294" t="s">
        <v>215</v>
      </c>
      <c r="C3294" s="4">
        <v>7.1419006383073699E-4</v>
      </c>
      <c r="D3294" s="4">
        <v>7.1419006383073699E-4</v>
      </c>
      <c r="E3294" s="4">
        <v>7.1419006383073699E-4</v>
      </c>
      <c r="F3294" s="4">
        <v>7.1419006383073699E-4</v>
      </c>
      <c r="G3294" s="4">
        <v>7.1419006383073699E-4</v>
      </c>
      <c r="H3294" s="4">
        <v>7.1419006383073699E-4</v>
      </c>
      <c r="I3294" s="4">
        <v>7.1419006383073699E-4</v>
      </c>
      <c r="J3294" s="4">
        <v>7.1419006383073699E-4</v>
      </c>
      <c r="K3294" s="4">
        <v>7.1419006383073699E-4</v>
      </c>
      <c r="L3294" s="4">
        <v>7.1419006383073699E-4</v>
      </c>
      <c r="M3294" s="4">
        <v>7.1419006383073699E-4</v>
      </c>
      <c r="N3294" t="s">
        <v>256</v>
      </c>
      <c r="O3294" t="s">
        <v>407</v>
      </c>
      <c r="P3294" t="s">
        <v>408</v>
      </c>
      <c r="Q3294" t="s">
        <v>245</v>
      </c>
    </row>
    <row r="3295" spans="1:17" x14ac:dyDescent="0.25">
      <c r="A3295" t="s">
        <v>408</v>
      </c>
      <c r="B3295" t="s">
        <v>142</v>
      </c>
      <c r="C3295" s="4">
        <v>7.1419006383073699E-4</v>
      </c>
      <c r="D3295" s="4">
        <v>7.1419006383073699E-4</v>
      </c>
      <c r="E3295" s="4">
        <v>7.1419006383073699E-4</v>
      </c>
      <c r="F3295" s="4">
        <v>7.1419006383073699E-4</v>
      </c>
      <c r="G3295" s="4">
        <v>7.1419006383073699E-4</v>
      </c>
      <c r="H3295" s="4">
        <v>7.1419006383073699E-4</v>
      </c>
      <c r="I3295" s="4">
        <v>7.1419006383073699E-4</v>
      </c>
      <c r="J3295" s="4">
        <v>7.1419006383073699E-4</v>
      </c>
      <c r="K3295" s="4">
        <v>7.1419006383073699E-4</v>
      </c>
      <c r="L3295" s="4">
        <v>7.1419006383073699E-4</v>
      </c>
      <c r="M3295" s="4">
        <v>7.1419006383073699E-4</v>
      </c>
      <c r="N3295" t="s">
        <v>256</v>
      </c>
      <c r="O3295" t="s">
        <v>407</v>
      </c>
      <c r="P3295" t="s">
        <v>408</v>
      </c>
      <c r="Q3295" t="s">
        <v>245</v>
      </c>
    </row>
    <row r="3296" spans="1:17" x14ac:dyDescent="0.25">
      <c r="A3296" t="s">
        <v>408</v>
      </c>
      <c r="B3296" t="s">
        <v>140</v>
      </c>
      <c r="C3296" s="4">
        <v>5.825112708119448E-3</v>
      </c>
      <c r="D3296" s="4">
        <v>5.825112708119448E-3</v>
      </c>
      <c r="E3296" s="4">
        <v>5.825112708119448E-3</v>
      </c>
      <c r="F3296" s="4">
        <v>5.825112708119448E-3</v>
      </c>
      <c r="G3296" s="4">
        <v>5.825112708119448E-3</v>
      </c>
      <c r="H3296" s="4">
        <v>5.825112708119448E-3</v>
      </c>
      <c r="I3296" s="4">
        <v>5.825112708119448E-3</v>
      </c>
      <c r="J3296" s="4">
        <v>5.825112708119448E-3</v>
      </c>
      <c r="K3296" s="4">
        <v>5.825112708119448E-3</v>
      </c>
      <c r="L3296" s="4">
        <v>5.825112708119448E-3</v>
      </c>
      <c r="M3296" s="4">
        <v>5.825112708119448E-3</v>
      </c>
      <c r="N3296" t="s">
        <v>256</v>
      </c>
      <c r="O3296" t="s">
        <v>407</v>
      </c>
      <c r="P3296" t="s">
        <v>408</v>
      </c>
      <c r="Q3296" t="s">
        <v>245</v>
      </c>
    </row>
    <row r="3297" spans="1:18" x14ac:dyDescent="0.25">
      <c r="A3297" t="s">
        <v>408</v>
      </c>
      <c r="B3297" t="s">
        <v>180</v>
      </c>
      <c r="C3297" s="4">
        <v>6.9187162433602639E-4</v>
      </c>
      <c r="D3297" s="4">
        <v>6.9187162433602639E-4</v>
      </c>
      <c r="E3297" s="4">
        <v>6.9187162433602639E-4</v>
      </c>
      <c r="F3297" s="4">
        <v>6.9187162433602639E-4</v>
      </c>
      <c r="G3297" s="4">
        <v>6.9187162433602639E-4</v>
      </c>
      <c r="H3297" s="4">
        <v>6.9187162433602639E-4</v>
      </c>
      <c r="I3297" s="4">
        <v>6.9187162433602639E-4</v>
      </c>
      <c r="J3297" s="4">
        <v>6.9187162433602639E-4</v>
      </c>
      <c r="K3297" s="4">
        <v>6.9187162433602639E-4</v>
      </c>
      <c r="L3297" s="4">
        <v>6.9187162433602639E-4</v>
      </c>
      <c r="M3297" s="4">
        <v>6.9187162433602639E-4</v>
      </c>
      <c r="N3297" t="s">
        <v>256</v>
      </c>
      <c r="O3297" t="s">
        <v>407</v>
      </c>
      <c r="P3297" t="s">
        <v>408</v>
      </c>
      <c r="Q3297" t="s">
        <v>245</v>
      </c>
    </row>
    <row r="3298" spans="1:18" x14ac:dyDescent="0.25">
      <c r="A3298" t="s">
        <v>408</v>
      </c>
      <c r="B3298" t="s">
        <v>115</v>
      </c>
      <c r="C3298" s="4">
        <v>8.5408204258358253E-2</v>
      </c>
      <c r="D3298" s="4">
        <v>8.5408204258358253E-2</v>
      </c>
      <c r="E3298" s="4">
        <v>8.5408204258358253E-2</v>
      </c>
      <c r="F3298" s="4">
        <v>8.5408204258358253E-2</v>
      </c>
      <c r="G3298" s="4">
        <v>8.5408204258358253E-2</v>
      </c>
      <c r="H3298" s="4">
        <v>8.5408204258358253E-2</v>
      </c>
      <c r="I3298" s="4">
        <v>8.5408204258358253E-2</v>
      </c>
      <c r="J3298" s="4">
        <v>8.5408204258358253E-2</v>
      </c>
      <c r="K3298" s="4">
        <v>8.5408204258358253E-2</v>
      </c>
      <c r="L3298" s="4">
        <v>8.5408204258358253E-2</v>
      </c>
      <c r="M3298" s="4">
        <v>8.5408204258358253E-2</v>
      </c>
      <c r="N3298" t="s">
        <v>256</v>
      </c>
      <c r="O3298" t="s">
        <v>407</v>
      </c>
      <c r="P3298" t="s">
        <v>408</v>
      </c>
      <c r="Q3298" t="s">
        <v>245</v>
      </c>
    </row>
    <row r="3299" spans="1:18" x14ac:dyDescent="0.25">
      <c r="A3299" t="s">
        <v>408</v>
      </c>
      <c r="B3299" t="s">
        <v>158</v>
      </c>
      <c r="C3299" s="4">
        <v>2.2318439494710528E-3</v>
      </c>
      <c r="D3299" s="4">
        <v>2.2318439494710528E-3</v>
      </c>
      <c r="E3299" s="4">
        <v>2.2318439494710528E-3</v>
      </c>
      <c r="F3299" s="4">
        <v>2.2318439494710528E-3</v>
      </c>
      <c r="G3299" s="4">
        <v>2.2318439494710528E-3</v>
      </c>
      <c r="H3299" s="4">
        <v>2.2318439494710528E-3</v>
      </c>
      <c r="I3299" s="4">
        <v>2.2318439494710528E-3</v>
      </c>
      <c r="J3299" s="4">
        <v>2.2318439494710528E-3</v>
      </c>
      <c r="K3299" s="4">
        <v>2.2318439494710528E-3</v>
      </c>
      <c r="L3299" s="4">
        <v>2.2318439494710528E-3</v>
      </c>
      <c r="M3299" s="4">
        <v>2.2318439494710528E-3</v>
      </c>
      <c r="N3299" t="s">
        <v>256</v>
      </c>
      <c r="O3299" t="s">
        <v>407</v>
      </c>
      <c r="P3299" t="s">
        <v>408</v>
      </c>
      <c r="Q3299" t="s">
        <v>245</v>
      </c>
    </row>
    <row r="3300" spans="1:18" x14ac:dyDescent="0.25">
      <c r="A3300" t="s">
        <v>411</v>
      </c>
      <c r="B3300" t="s">
        <v>83</v>
      </c>
      <c r="C3300" s="4">
        <f t="shared" ref="C3300:M3300" si="1722">(0.144688166399844/(0.144688166399844+0.3663259998074)) * 10.9195729267414%</f>
        <v>3.0917596597485369E-2</v>
      </c>
      <c r="D3300" s="4">
        <f t="shared" si="1722"/>
        <v>3.0917596597485369E-2</v>
      </c>
      <c r="E3300" s="4">
        <f t="shared" si="1722"/>
        <v>3.0917596597485369E-2</v>
      </c>
      <c r="F3300" s="4">
        <f t="shared" si="1722"/>
        <v>3.0917596597485369E-2</v>
      </c>
      <c r="G3300" s="4">
        <f t="shared" si="1722"/>
        <v>3.0917596597485369E-2</v>
      </c>
      <c r="H3300" s="4">
        <f t="shared" si="1722"/>
        <v>3.0917596597485369E-2</v>
      </c>
      <c r="I3300" s="4">
        <f t="shared" si="1722"/>
        <v>3.0917596597485369E-2</v>
      </c>
      <c r="J3300" s="4">
        <f t="shared" si="1722"/>
        <v>3.0917596597485369E-2</v>
      </c>
      <c r="K3300" s="4">
        <f t="shared" si="1722"/>
        <v>3.0917596597485369E-2</v>
      </c>
      <c r="L3300" s="4">
        <f t="shared" si="1722"/>
        <v>3.0917596597485369E-2</v>
      </c>
      <c r="M3300" s="4">
        <f t="shared" si="1722"/>
        <v>3.0917596597485369E-2</v>
      </c>
      <c r="N3300" t="s">
        <v>256</v>
      </c>
      <c r="O3300" t="s">
        <v>409</v>
      </c>
      <c r="P3300" t="s">
        <v>411</v>
      </c>
      <c r="Q3300" s="4" t="s">
        <v>245</v>
      </c>
      <c r="R3300" t="s">
        <v>585</v>
      </c>
    </row>
    <row r="3301" spans="1:18" x14ac:dyDescent="0.25">
      <c r="A3301" t="s">
        <v>411</v>
      </c>
      <c r="B3301" t="s">
        <v>83</v>
      </c>
      <c r="C3301" s="4">
        <f t="shared" ref="C3301:M3301" si="1723">(0.3663259998074/(0.144688166399844+0.3663259998074)) * 10.9195729267414%</f>
        <v>7.8278132669928613E-2</v>
      </c>
      <c r="D3301" s="4">
        <f t="shared" si="1723"/>
        <v>7.8278132669928613E-2</v>
      </c>
      <c r="E3301" s="4">
        <f t="shared" si="1723"/>
        <v>7.8278132669928613E-2</v>
      </c>
      <c r="F3301" s="4">
        <f t="shared" si="1723"/>
        <v>7.8278132669928613E-2</v>
      </c>
      <c r="G3301" s="4">
        <f t="shared" si="1723"/>
        <v>7.8278132669928613E-2</v>
      </c>
      <c r="H3301" s="4">
        <f t="shared" si="1723"/>
        <v>7.8278132669928613E-2</v>
      </c>
      <c r="I3301" s="4">
        <f t="shared" si="1723"/>
        <v>7.8278132669928613E-2</v>
      </c>
      <c r="J3301" s="4">
        <f t="shared" si="1723"/>
        <v>7.8278132669928613E-2</v>
      </c>
      <c r="K3301" s="4">
        <f t="shared" si="1723"/>
        <v>7.8278132669928613E-2</v>
      </c>
      <c r="L3301" s="4">
        <f t="shared" si="1723"/>
        <v>7.8278132669928613E-2</v>
      </c>
      <c r="M3301" s="4">
        <f t="shared" si="1723"/>
        <v>7.8278132669928613E-2</v>
      </c>
      <c r="N3301" t="s">
        <v>256</v>
      </c>
      <c r="O3301" t="s">
        <v>410</v>
      </c>
      <c r="P3301" t="s">
        <v>411</v>
      </c>
      <c r="Q3301" s="4" t="s">
        <v>245</v>
      </c>
    </row>
    <row r="3302" spans="1:18" x14ac:dyDescent="0.25">
      <c r="A3302" t="s">
        <v>411</v>
      </c>
      <c r="B3302" t="s">
        <v>85</v>
      </c>
      <c r="C3302" s="4">
        <f t="shared" ref="C3302:M3302" si="1724">(0.144688166399844/(0.144688166399844+0.3663259998074)) * 0.0166884754698375%</f>
        <v>4.7251623837768544E-5</v>
      </c>
      <c r="D3302" s="4">
        <f t="shared" si="1724"/>
        <v>4.7251623837768544E-5</v>
      </c>
      <c r="E3302" s="4">
        <f t="shared" si="1724"/>
        <v>4.7251623837768544E-5</v>
      </c>
      <c r="F3302" s="4">
        <f t="shared" si="1724"/>
        <v>4.7251623837768544E-5</v>
      </c>
      <c r="G3302" s="4">
        <f t="shared" si="1724"/>
        <v>4.7251623837768544E-5</v>
      </c>
      <c r="H3302" s="4">
        <f t="shared" si="1724"/>
        <v>4.7251623837768544E-5</v>
      </c>
      <c r="I3302" s="4">
        <f t="shared" si="1724"/>
        <v>4.7251623837768544E-5</v>
      </c>
      <c r="J3302" s="4">
        <f t="shared" si="1724"/>
        <v>4.7251623837768544E-5</v>
      </c>
      <c r="K3302" s="4">
        <f t="shared" si="1724"/>
        <v>4.7251623837768544E-5</v>
      </c>
      <c r="L3302" s="4">
        <f t="shared" si="1724"/>
        <v>4.7251623837768544E-5</v>
      </c>
      <c r="M3302" s="4">
        <f t="shared" si="1724"/>
        <v>4.7251623837768544E-5</v>
      </c>
      <c r="N3302" t="s">
        <v>256</v>
      </c>
      <c r="O3302" t="s">
        <v>409</v>
      </c>
      <c r="P3302" t="s">
        <v>411</v>
      </c>
      <c r="Q3302" s="4" t="s">
        <v>245</v>
      </c>
    </row>
    <row r="3303" spans="1:18" x14ac:dyDescent="0.25">
      <c r="A3303" t="s">
        <v>411</v>
      </c>
      <c r="B3303" t="s">
        <v>85</v>
      </c>
      <c r="C3303" s="4">
        <f t="shared" ref="C3303:M3303" si="1725">(0.3663259998074/(0.144688166399844+0.3663259998074)) * 0.0166884754698375%</f>
        <v>1.1963313086060645E-4</v>
      </c>
      <c r="D3303" s="4">
        <f t="shared" si="1725"/>
        <v>1.1963313086060645E-4</v>
      </c>
      <c r="E3303" s="4">
        <f t="shared" si="1725"/>
        <v>1.1963313086060645E-4</v>
      </c>
      <c r="F3303" s="4">
        <f t="shared" si="1725"/>
        <v>1.1963313086060645E-4</v>
      </c>
      <c r="G3303" s="4">
        <f t="shared" si="1725"/>
        <v>1.1963313086060645E-4</v>
      </c>
      <c r="H3303" s="4">
        <f t="shared" si="1725"/>
        <v>1.1963313086060645E-4</v>
      </c>
      <c r="I3303" s="4">
        <f t="shared" si="1725"/>
        <v>1.1963313086060645E-4</v>
      </c>
      <c r="J3303" s="4">
        <f t="shared" si="1725"/>
        <v>1.1963313086060645E-4</v>
      </c>
      <c r="K3303" s="4">
        <f t="shared" si="1725"/>
        <v>1.1963313086060645E-4</v>
      </c>
      <c r="L3303" s="4">
        <f t="shared" si="1725"/>
        <v>1.1963313086060645E-4</v>
      </c>
      <c r="M3303" s="4">
        <f t="shared" si="1725"/>
        <v>1.1963313086060645E-4</v>
      </c>
      <c r="N3303" t="s">
        <v>256</v>
      </c>
      <c r="O3303" t="s">
        <v>410</v>
      </c>
      <c r="P3303" t="s">
        <v>411</v>
      </c>
      <c r="Q3303" s="4" t="s">
        <v>245</v>
      </c>
    </row>
    <row r="3304" spans="1:18" x14ac:dyDescent="0.25">
      <c r="A3304" t="s">
        <v>411</v>
      </c>
      <c r="B3304" t="s">
        <v>116</v>
      </c>
      <c r="C3304" s="4">
        <f t="shared" ref="C3304:M3304" si="1726">(0.100925868687875/(0.100925868687875+0.388059965104881)) * 13.3981908175456%</f>
        <v>2.7653644618257076E-2</v>
      </c>
      <c r="D3304" s="4">
        <f t="shared" si="1726"/>
        <v>2.7653644618257076E-2</v>
      </c>
      <c r="E3304" s="4">
        <f t="shared" si="1726"/>
        <v>2.7653644618257076E-2</v>
      </c>
      <c r="F3304" s="4">
        <f t="shared" si="1726"/>
        <v>2.7653644618257076E-2</v>
      </c>
      <c r="G3304" s="4">
        <f t="shared" si="1726"/>
        <v>2.7653644618257076E-2</v>
      </c>
      <c r="H3304" s="4">
        <f t="shared" si="1726"/>
        <v>2.7653644618257076E-2</v>
      </c>
      <c r="I3304" s="4">
        <f t="shared" si="1726"/>
        <v>2.7653644618257076E-2</v>
      </c>
      <c r="J3304" s="4">
        <f t="shared" si="1726"/>
        <v>2.7653644618257076E-2</v>
      </c>
      <c r="K3304" s="4">
        <f t="shared" si="1726"/>
        <v>2.7653644618257076E-2</v>
      </c>
      <c r="L3304" s="4">
        <f t="shared" si="1726"/>
        <v>2.7653644618257076E-2</v>
      </c>
      <c r="M3304" s="4">
        <f t="shared" si="1726"/>
        <v>2.7653644618257076E-2</v>
      </c>
      <c r="N3304" t="s">
        <v>253</v>
      </c>
      <c r="O3304" t="s">
        <v>409</v>
      </c>
      <c r="P3304" t="s">
        <v>411</v>
      </c>
      <c r="Q3304" s="4" t="s">
        <v>245</v>
      </c>
    </row>
    <row r="3305" spans="1:18" x14ac:dyDescent="0.25">
      <c r="A3305" t="s">
        <v>411</v>
      </c>
      <c r="B3305" t="s">
        <v>116</v>
      </c>
      <c r="C3305" s="4">
        <f t="shared" ref="C3305:M3305" si="1727">(0.388059965104881/(0.100925868687875+0.388059965104881)) * 13.3981908175456%</f>
        <v>0.1063282635571989</v>
      </c>
      <c r="D3305" s="4">
        <f t="shared" si="1727"/>
        <v>0.1063282635571989</v>
      </c>
      <c r="E3305" s="4">
        <f t="shared" si="1727"/>
        <v>0.1063282635571989</v>
      </c>
      <c r="F3305" s="4">
        <f t="shared" si="1727"/>
        <v>0.1063282635571989</v>
      </c>
      <c r="G3305" s="4">
        <f t="shared" si="1727"/>
        <v>0.1063282635571989</v>
      </c>
      <c r="H3305" s="4">
        <f t="shared" si="1727"/>
        <v>0.1063282635571989</v>
      </c>
      <c r="I3305" s="4">
        <f t="shared" si="1727"/>
        <v>0.1063282635571989</v>
      </c>
      <c r="J3305" s="4">
        <f t="shared" si="1727"/>
        <v>0.1063282635571989</v>
      </c>
      <c r="K3305" s="4">
        <f t="shared" si="1727"/>
        <v>0.1063282635571989</v>
      </c>
      <c r="L3305" s="4">
        <f t="shared" si="1727"/>
        <v>0.1063282635571989</v>
      </c>
      <c r="M3305" s="4">
        <f t="shared" si="1727"/>
        <v>0.1063282635571989</v>
      </c>
      <c r="N3305" t="s">
        <v>253</v>
      </c>
      <c r="O3305" t="s">
        <v>410</v>
      </c>
      <c r="P3305" t="s">
        <v>411</v>
      </c>
      <c r="Q3305" s="4" t="s">
        <v>245</v>
      </c>
    </row>
    <row r="3306" spans="1:18" x14ac:dyDescent="0.25">
      <c r="A3306" t="s">
        <v>411</v>
      </c>
      <c r="B3306" t="s">
        <v>86</v>
      </c>
      <c r="C3306" s="4">
        <f t="shared" ref="C3306:M3306" si="1728">(0.144688166399844/(0.144688166399844+0.3663259998074)) * 3.50154558039863%</f>
        <v>9.9142498015972486E-3</v>
      </c>
      <c r="D3306" s="4">
        <f t="shared" si="1728"/>
        <v>9.9142498015972486E-3</v>
      </c>
      <c r="E3306" s="4">
        <f t="shared" si="1728"/>
        <v>9.9142498015972486E-3</v>
      </c>
      <c r="F3306" s="4">
        <f t="shared" si="1728"/>
        <v>9.9142498015972486E-3</v>
      </c>
      <c r="G3306" s="4">
        <f t="shared" si="1728"/>
        <v>9.9142498015972486E-3</v>
      </c>
      <c r="H3306" s="4">
        <f t="shared" si="1728"/>
        <v>9.9142498015972486E-3</v>
      </c>
      <c r="I3306" s="4">
        <f t="shared" si="1728"/>
        <v>9.9142498015972486E-3</v>
      </c>
      <c r="J3306" s="4">
        <f t="shared" si="1728"/>
        <v>9.9142498015972486E-3</v>
      </c>
      <c r="K3306" s="4">
        <f t="shared" si="1728"/>
        <v>9.9142498015972486E-3</v>
      </c>
      <c r="L3306" s="4">
        <f t="shared" si="1728"/>
        <v>9.9142498015972486E-3</v>
      </c>
      <c r="M3306" s="4">
        <f t="shared" si="1728"/>
        <v>9.9142498015972486E-3</v>
      </c>
      <c r="N3306" t="s">
        <v>256</v>
      </c>
      <c r="O3306" t="s">
        <v>409</v>
      </c>
      <c r="P3306" t="s">
        <v>411</v>
      </c>
      <c r="Q3306" s="4" t="s">
        <v>245</v>
      </c>
    </row>
    <row r="3307" spans="1:18" x14ac:dyDescent="0.25">
      <c r="A3307" t="s">
        <v>411</v>
      </c>
      <c r="B3307" t="s">
        <v>86</v>
      </c>
      <c r="C3307" s="4">
        <f t="shared" ref="C3307:M3307" si="1729">(0.3663259998074/(0.144688166399844+0.3663259998074)) * 3.50154558039863%</f>
        <v>2.5101206002389048E-2</v>
      </c>
      <c r="D3307" s="4">
        <f t="shared" si="1729"/>
        <v>2.5101206002389048E-2</v>
      </c>
      <c r="E3307" s="4">
        <f t="shared" si="1729"/>
        <v>2.5101206002389048E-2</v>
      </c>
      <c r="F3307" s="4">
        <f t="shared" si="1729"/>
        <v>2.5101206002389048E-2</v>
      </c>
      <c r="G3307" s="4">
        <f t="shared" si="1729"/>
        <v>2.5101206002389048E-2</v>
      </c>
      <c r="H3307" s="4">
        <f t="shared" si="1729"/>
        <v>2.5101206002389048E-2</v>
      </c>
      <c r="I3307" s="4">
        <f t="shared" si="1729"/>
        <v>2.5101206002389048E-2</v>
      </c>
      <c r="J3307" s="4">
        <f t="shared" si="1729"/>
        <v>2.5101206002389048E-2</v>
      </c>
      <c r="K3307" s="4">
        <f t="shared" si="1729"/>
        <v>2.5101206002389048E-2</v>
      </c>
      <c r="L3307" s="4">
        <f t="shared" si="1729"/>
        <v>2.5101206002389048E-2</v>
      </c>
      <c r="M3307" s="4">
        <f t="shared" si="1729"/>
        <v>2.5101206002389048E-2</v>
      </c>
      <c r="N3307" t="s">
        <v>256</v>
      </c>
      <c r="O3307" t="s">
        <v>410</v>
      </c>
      <c r="P3307" t="s">
        <v>411</v>
      </c>
      <c r="Q3307" s="4" t="s">
        <v>245</v>
      </c>
    </row>
    <row r="3308" spans="1:18" x14ac:dyDescent="0.25">
      <c r="A3308" t="s">
        <v>411</v>
      </c>
      <c r="B3308" t="s">
        <v>217</v>
      </c>
      <c r="C3308" s="4">
        <f t="shared" ref="C3308:M3308" si="1730">(0.144688166399844/(0.144688166399844+0.3663259998074)) * 0.0690296030797823%</f>
        <v>1.9544989860167874E-4</v>
      </c>
      <c r="D3308" s="4">
        <f t="shared" si="1730"/>
        <v>1.9544989860167874E-4</v>
      </c>
      <c r="E3308" s="4">
        <f t="shared" si="1730"/>
        <v>1.9544989860167874E-4</v>
      </c>
      <c r="F3308" s="4">
        <f t="shared" si="1730"/>
        <v>1.9544989860167874E-4</v>
      </c>
      <c r="G3308" s="4">
        <f t="shared" si="1730"/>
        <v>1.9544989860167874E-4</v>
      </c>
      <c r="H3308" s="4">
        <f t="shared" si="1730"/>
        <v>1.9544989860167874E-4</v>
      </c>
      <c r="I3308" s="4">
        <f t="shared" si="1730"/>
        <v>1.9544989860167874E-4</v>
      </c>
      <c r="J3308" s="4">
        <f t="shared" si="1730"/>
        <v>1.9544989860167874E-4</v>
      </c>
      <c r="K3308" s="4">
        <f t="shared" si="1730"/>
        <v>1.9544989860167874E-4</v>
      </c>
      <c r="L3308" s="4">
        <f t="shared" si="1730"/>
        <v>1.9544989860167874E-4</v>
      </c>
      <c r="M3308" s="4">
        <f t="shared" si="1730"/>
        <v>1.9544989860167874E-4</v>
      </c>
      <c r="N3308" t="s">
        <v>256</v>
      </c>
      <c r="O3308" t="s">
        <v>409</v>
      </c>
      <c r="P3308" t="s">
        <v>411</v>
      </c>
      <c r="Q3308" s="4" t="s">
        <v>245</v>
      </c>
    </row>
    <row r="3309" spans="1:18" x14ac:dyDescent="0.25">
      <c r="A3309" t="s">
        <v>411</v>
      </c>
      <c r="B3309" t="s">
        <v>217</v>
      </c>
      <c r="C3309" s="4">
        <f t="shared" ref="C3309:M3309" si="1731">(0.3663259998074/(0.144688166399844+0.3663259998074)) * 0.0690296030797823%</f>
        <v>4.9484613219614418E-4</v>
      </c>
      <c r="D3309" s="4">
        <f t="shared" si="1731"/>
        <v>4.9484613219614418E-4</v>
      </c>
      <c r="E3309" s="4">
        <f t="shared" si="1731"/>
        <v>4.9484613219614418E-4</v>
      </c>
      <c r="F3309" s="4">
        <f t="shared" si="1731"/>
        <v>4.9484613219614418E-4</v>
      </c>
      <c r="G3309" s="4">
        <f t="shared" si="1731"/>
        <v>4.9484613219614418E-4</v>
      </c>
      <c r="H3309" s="4">
        <f t="shared" si="1731"/>
        <v>4.9484613219614418E-4</v>
      </c>
      <c r="I3309" s="4">
        <f t="shared" si="1731"/>
        <v>4.9484613219614418E-4</v>
      </c>
      <c r="J3309" s="4">
        <f t="shared" si="1731"/>
        <v>4.9484613219614418E-4</v>
      </c>
      <c r="K3309" s="4">
        <f t="shared" si="1731"/>
        <v>4.9484613219614418E-4</v>
      </c>
      <c r="L3309" s="4">
        <f t="shared" si="1731"/>
        <v>4.9484613219614418E-4</v>
      </c>
      <c r="M3309" s="4">
        <f t="shared" si="1731"/>
        <v>4.9484613219614418E-4</v>
      </c>
      <c r="N3309" t="s">
        <v>256</v>
      </c>
      <c r="O3309" t="s">
        <v>410</v>
      </c>
      <c r="P3309" t="s">
        <v>411</v>
      </c>
      <c r="Q3309" s="4" t="s">
        <v>245</v>
      </c>
    </row>
    <row r="3310" spans="1:18" x14ac:dyDescent="0.25">
      <c r="A3310" t="s">
        <v>411</v>
      </c>
      <c r="B3310" t="s">
        <v>117</v>
      </c>
      <c r="C3310" s="4">
        <f t="shared" ref="C3310:M3310" si="1732">(0.144688166399844/(0.144688166399844+0.3663259998074)) * 0.0250327132047562%</f>
        <v>7.0877435756652678E-5</v>
      </c>
      <c r="D3310" s="4">
        <f t="shared" si="1732"/>
        <v>7.0877435756652678E-5</v>
      </c>
      <c r="E3310" s="4">
        <f t="shared" si="1732"/>
        <v>7.0877435756652678E-5</v>
      </c>
      <c r="F3310" s="4">
        <f t="shared" si="1732"/>
        <v>7.0877435756652678E-5</v>
      </c>
      <c r="G3310" s="4">
        <f t="shared" si="1732"/>
        <v>7.0877435756652678E-5</v>
      </c>
      <c r="H3310" s="4">
        <f t="shared" si="1732"/>
        <v>7.0877435756652678E-5</v>
      </c>
      <c r="I3310" s="4">
        <f t="shared" si="1732"/>
        <v>7.0877435756652678E-5</v>
      </c>
      <c r="J3310" s="4">
        <f t="shared" si="1732"/>
        <v>7.0877435756652678E-5</v>
      </c>
      <c r="K3310" s="4">
        <f t="shared" si="1732"/>
        <v>7.0877435756652678E-5</v>
      </c>
      <c r="L3310" s="4">
        <f t="shared" si="1732"/>
        <v>7.0877435756652678E-5</v>
      </c>
      <c r="M3310" s="4">
        <f t="shared" si="1732"/>
        <v>7.0877435756652678E-5</v>
      </c>
      <c r="N3310" t="s">
        <v>256</v>
      </c>
      <c r="O3310" t="s">
        <v>409</v>
      </c>
      <c r="P3310" t="s">
        <v>411</v>
      </c>
      <c r="Q3310" s="4" t="s">
        <v>245</v>
      </c>
    </row>
    <row r="3311" spans="1:18" x14ac:dyDescent="0.25">
      <c r="A3311" t="s">
        <v>411</v>
      </c>
      <c r="B3311" t="s">
        <v>117</v>
      </c>
      <c r="C3311" s="4">
        <f t="shared" ref="C3311:M3311" si="1733">(0.3663259998074/(0.144688166399844+0.3663259998074)) * 0.0250327132047562%</f>
        <v>1.7944969629090933E-4</v>
      </c>
      <c r="D3311" s="4">
        <f t="shared" si="1733"/>
        <v>1.7944969629090933E-4</v>
      </c>
      <c r="E3311" s="4">
        <f t="shared" si="1733"/>
        <v>1.7944969629090933E-4</v>
      </c>
      <c r="F3311" s="4">
        <f t="shared" si="1733"/>
        <v>1.7944969629090933E-4</v>
      </c>
      <c r="G3311" s="4">
        <f t="shared" si="1733"/>
        <v>1.7944969629090933E-4</v>
      </c>
      <c r="H3311" s="4">
        <f t="shared" si="1733"/>
        <v>1.7944969629090933E-4</v>
      </c>
      <c r="I3311" s="4">
        <f t="shared" si="1733"/>
        <v>1.7944969629090933E-4</v>
      </c>
      <c r="J3311" s="4">
        <f t="shared" si="1733"/>
        <v>1.7944969629090933E-4</v>
      </c>
      <c r="K3311" s="4">
        <f t="shared" si="1733"/>
        <v>1.7944969629090933E-4</v>
      </c>
      <c r="L3311" s="4">
        <f t="shared" si="1733"/>
        <v>1.7944969629090933E-4</v>
      </c>
      <c r="M3311" s="4">
        <f t="shared" si="1733"/>
        <v>1.7944969629090933E-4</v>
      </c>
      <c r="N3311" t="s">
        <v>256</v>
      </c>
      <c r="O3311" t="s">
        <v>410</v>
      </c>
      <c r="P3311" t="s">
        <v>411</v>
      </c>
      <c r="Q3311" s="4" t="s">
        <v>245</v>
      </c>
    </row>
    <row r="3312" spans="1:18" x14ac:dyDescent="0.25">
      <c r="A3312" t="s">
        <v>411</v>
      </c>
      <c r="B3312" t="s">
        <v>97</v>
      </c>
      <c r="C3312" s="4">
        <f t="shared" ref="C3312:M3312" si="1734">(0.144688166399844/(0.144688166399844+0.3663259998074)) * 0.821907416889496%</f>
        <v>2.3271424740100985E-3</v>
      </c>
      <c r="D3312" s="4">
        <f t="shared" si="1734"/>
        <v>2.3271424740100985E-3</v>
      </c>
      <c r="E3312" s="4">
        <f t="shared" si="1734"/>
        <v>2.3271424740100985E-3</v>
      </c>
      <c r="F3312" s="4">
        <f t="shared" si="1734"/>
        <v>2.3271424740100985E-3</v>
      </c>
      <c r="G3312" s="4">
        <f t="shared" si="1734"/>
        <v>2.3271424740100985E-3</v>
      </c>
      <c r="H3312" s="4">
        <f t="shared" si="1734"/>
        <v>2.3271424740100985E-3</v>
      </c>
      <c r="I3312" s="4">
        <f t="shared" si="1734"/>
        <v>2.3271424740100985E-3</v>
      </c>
      <c r="J3312" s="4">
        <f t="shared" si="1734"/>
        <v>2.3271424740100985E-3</v>
      </c>
      <c r="K3312" s="4">
        <f t="shared" si="1734"/>
        <v>2.3271424740100985E-3</v>
      </c>
      <c r="L3312" s="4">
        <f t="shared" si="1734"/>
        <v>2.3271424740100985E-3</v>
      </c>
      <c r="M3312" s="4">
        <f t="shared" si="1734"/>
        <v>2.3271424740100985E-3</v>
      </c>
      <c r="N3312" t="s">
        <v>256</v>
      </c>
      <c r="O3312" t="s">
        <v>409</v>
      </c>
      <c r="P3312" t="s">
        <v>411</v>
      </c>
      <c r="Q3312" s="4" t="s">
        <v>245</v>
      </c>
    </row>
    <row r="3313" spans="1:17" x14ac:dyDescent="0.25">
      <c r="A3313" t="s">
        <v>411</v>
      </c>
      <c r="B3313" t="s">
        <v>97</v>
      </c>
      <c r="C3313" s="4">
        <f t="shared" ref="C3313:M3313" si="1735">(0.3663259998074/(0.144688166399844+0.3663259998074)) * 0.821907416889496%</f>
        <v>5.891931694884861E-3</v>
      </c>
      <c r="D3313" s="4">
        <f t="shared" si="1735"/>
        <v>5.891931694884861E-3</v>
      </c>
      <c r="E3313" s="4">
        <f t="shared" si="1735"/>
        <v>5.891931694884861E-3</v>
      </c>
      <c r="F3313" s="4">
        <f t="shared" si="1735"/>
        <v>5.891931694884861E-3</v>
      </c>
      <c r="G3313" s="4">
        <f t="shared" si="1735"/>
        <v>5.891931694884861E-3</v>
      </c>
      <c r="H3313" s="4">
        <f t="shared" si="1735"/>
        <v>5.891931694884861E-3</v>
      </c>
      <c r="I3313" s="4">
        <f t="shared" si="1735"/>
        <v>5.891931694884861E-3</v>
      </c>
      <c r="J3313" s="4">
        <f t="shared" si="1735"/>
        <v>5.891931694884861E-3</v>
      </c>
      <c r="K3313" s="4">
        <f t="shared" si="1735"/>
        <v>5.891931694884861E-3</v>
      </c>
      <c r="L3313" s="4">
        <f t="shared" si="1735"/>
        <v>5.891931694884861E-3</v>
      </c>
      <c r="M3313" s="4">
        <f t="shared" si="1735"/>
        <v>5.891931694884861E-3</v>
      </c>
      <c r="N3313" t="s">
        <v>256</v>
      </c>
      <c r="O3313" t="s">
        <v>410</v>
      </c>
      <c r="P3313" t="s">
        <v>411</v>
      </c>
      <c r="Q3313" s="4" t="s">
        <v>245</v>
      </c>
    </row>
    <row r="3314" spans="1:17" x14ac:dyDescent="0.25">
      <c r="A3314" t="s">
        <v>411</v>
      </c>
      <c r="B3314" t="s">
        <v>99</v>
      </c>
      <c r="C3314" s="4">
        <f t="shared" ref="C3314:M3314" si="1736">(0.144688166399844/(0.144688166399844+0.3663259998074)) * 0.122887864823349%</f>
        <v>3.4794377553265966E-4</v>
      </c>
      <c r="D3314" s="4">
        <f t="shared" si="1736"/>
        <v>3.4794377553265966E-4</v>
      </c>
      <c r="E3314" s="4">
        <f t="shared" si="1736"/>
        <v>3.4794377553265966E-4</v>
      </c>
      <c r="F3314" s="4">
        <f t="shared" si="1736"/>
        <v>3.4794377553265966E-4</v>
      </c>
      <c r="G3314" s="4">
        <f t="shared" si="1736"/>
        <v>3.4794377553265966E-4</v>
      </c>
      <c r="H3314" s="4">
        <f t="shared" si="1736"/>
        <v>3.4794377553265966E-4</v>
      </c>
      <c r="I3314" s="4">
        <f t="shared" si="1736"/>
        <v>3.4794377553265966E-4</v>
      </c>
      <c r="J3314" s="4">
        <f t="shared" si="1736"/>
        <v>3.4794377553265966E-4</v>
      </c>
      <c r="K3314" s="4">
        <f t="shared" si="1736"/>
        <v>3.4794377553265966E-4</v>
      </c>
      <c r="L3314" s="4">
        <f t="shared" si="1736"/>
        <v>3.4794377553265966E-4</v>
      </c>
      <c r="M3314" s="4">
        <f t="shared" si="1736"/>
        <v>3.4794377553265966E-4</v>
      </c>
      <c r="N3314" t="s">
        <v>256</v>
      </c>
      <c r="O3314" t="s">
        <v>409</v>
      </c>
      <c r="P3314" t="s">
        <v>411</v>
      </c>
      <c r="Q3314" s="4" t="s">
        <v>245</v>
      </c>
    </row>
    <row r="3315" spans="1:17" x14ac:dyDescent="0.25">
      <c r="A3315" t="s">
        <v>411</v>
      </c>
      <c r="B3315" t="s">
        <v>99</v>
      </c>
      <c r="C3315" s="4">
        <f t="shared" ref="C3315:M3315" si="1737">(0.3663259998074/(0.144688166399844+0.3663259998074)) * 0.122887864823349%</f>
        <v>8.8093487270083021E-4</v>
      </c>
      <c r="D3315" s="4">
        <f t="shared" si="1737"/>
        <v>8.8093487270083021E-4</v>
      </c>
      <c r="E3315" s="4">
        <f t="shared" si="1737"/>
        <v>8.8093487270083021E-4</v>
      </c>
      <c r="F3315" s="4">
        <f t="shared" si="1737"/>
        <v>8.8093487270083021E-4</v>
      </c>
      <c r="G3315" s="4">
        <f t="shared" si="1737"/>
        <v>8.8093487270083021E-4</v>
      </c>
      <c r="H3315" s="4">
        <f t="shared" si="1737"/>
        <v>8.8093487270083021E-4</v>
      </c>
      <c r="I3315" s="4">
        <f t="shared" si="1737"/>
        <v>8.8093487270083021E-4</v>
      </c>
      <c r="J3315" s="4">
        <f t="shared" si="1737"/>
        <v>8.8093487270083021E-4</v>
      </c>
      <c r="K3315" s="4">
        <f t="shared" si="1737"/>
        <v>8.8093487270083021E-4</v>
      </c>
      <c r="L3315" s="4">
        <f t="shared" si="1737"/>
        <v>8.8093487270083021E-4</v>
      </c>
      <c r="M3315" s="4">
        <f t="shared" si="1737"/>
        <v>8.8093487270083021E-4</v>
      </c>
      <c r="N3315" t="s">
        <v>256</v>
      </c>
      <c r="O3315" t="s">
        <v>410</v>
      </c>
      <c r="P3315" t="s">
        <v>411</v>
      </c>
      <c r="Q3315" s="4" t="s">
        <v>245</v>
      </c>
    </row>
    <row r="3316" spans="1:17" x14ac:dyDescent="0.25">
      <c r="A3316" t="s">
        <v>411</v>
      </c>
      <c r="B3316" t="s">
        <v>102</v>
      </c>
      <c r="C3316" s="4">
        <f t="shared" ref="C3316:M3316" si="1738">(0.144688166399844/(0.144688166399844+0.3663259998074)) * 41.391212000531%</f>
        <v>0.11719476612308349</v>
      </c>
      <c r="D3316" s="4">
        <f t="shared" si="1738"/>
        <v>0.11719476612308349</v>
      </c>
      <c r="E3316" s="4">
        <f t="shared" si="1738"/>
        <v>0.11719476612308349</v>
      </c>
      <c r="F3316" s="4">
        <f t="shared" si="1738"/>
        <v>0.11719476612308349</v>
      </c>
      <c r="G3316" s="4">
        <f t="shared" si="1738"/>
        <v>0.11719476612308349</v>
      </c>
      <c r="H3316" s="4">
        <f t="shared" si="1738"/>
        <v>0.11719476612308349</v>
      </c>
      <c r="I3316" s="4">
        <f t="shared" si="1738"/>
        <v>0.11719476612308349</v>
      </c>
      <c r="J3316" s="4">
        <f t="shared" si="1738"/>
        <v>0.11719476612308349</v>
      </c>
      <c r="K3316" s="4">
        <f t="shared" si="1738"/>
        <v>0.11719476612308349</v>
      </c>
      <c r="L3316" s="4">
        <f t="shared" si="1738"/>
        <v>0.11719476612308349</v>
      </c>
      <c r="M3316" s="4">
        <f t="shared" si="1738"/>
        <v>0.11719476612308349</v>
      </c>
      <c r="N3316" t="s">
        <v>256</v>
      </c>
      <c r="O3316" t="s">
        <v>409</v>
      </c>
      <c r="P3316" t="s">
        <v>411</v>
      </c>
      <c r="Q3316" s="4" t="s">
        <v>245</v>
      </c>
    </row>
    <row r="3317" spans="1:17" x14ac:dyDescent="0.25">
      <c r="A3317" t="s">
        <v>411</v>
      </c>
      <c r="B3317" t="s">
        <v>102</v>
      </c>
      <c r="C3317" s="4">
        <f t="shared" ref="C3317:M3317" si="1739">(0.3663259998074/(0.144688166399844+0.3663259998074)) * 41.391212000531%</f>
        <v>0.29671735388222642</v>
      </c>
      <c r="D3317" s="4">
        <f t="shared" si="1739"/>
        <v>0.29671735388222642</v>
      </c>
      <c r="E3317" s="4">
        <f t="shared" si="1739"/>
        <v>0.29671735388222642</v>
      </c>
      <c r="F3317" s="4">
        <f t="shared" si="1739"/>
        <v>0.29671735388222642</v>
      </c>
      <c r="G3317" s="4">
        <f t="shared" si="1739"/>
        <v>0.29671735388222642</v>
      </c>
      <c r="H3317" s="4">
        <f t="shared" si="1739"/>
        <v>0.29671735388222642</v>
      </c>
      <c r="I3317" s="4">
        <f t="shared" si="1739"/>
        <v>0.29671735388222642</v>
      </c>
      <c r="J3317" s="4">
        <f t="shared" si="1739"/>
        <v>0.29671735388222642</v>
      </c>
      <c r="K3317" s="4">
        <f t="shared" si="1739"/>
        <v>0.29671735388222642</v>
      </c>
      <c r="L3317" s="4">
        <f t="shared" si="1739"/>
        <v>0.29671735388222642</v>
      </c>
      <c r="M3317" s="4">
        <f t="shared" si="1739"/>
        <v>0.29671735388222642</v>
      </c>
      <c r="N3317" t="s">
        <v>256</v>
      </c>
      <c r="O3317" t="s">
        <v>410</v>
      </c>
      <c r="P3317" t="s">
        <v>411</v>
      </c>
      <c r="Q3317" s="4" t="s">
        <v>245</v>
      </c>
    </row>
    <row r="3318" spans="1:17" x14ac:dyDescent="0.25">
      <c r="A3318" t="s">
        <v>411</v>
      </c>
      <c r="B3318" t="s">
        <v>175</v>
      </c>
      <c r="C3318" s="4">
        <f t="shared" ref="C3318:M3318" si="1740">(0.144688166399844/(0.144688166399844+0.3663259998074)) * 9.85795831673968%</f>
        <v>2.7911748981078198E-2</v>
      </c>
      <c r="D3318" s="4">
        <f t="shared" si="1740"/>
        <v>2.7911748981078198E-2</v>
      </c>
      <c r="E3318" s="4">
        <f t="shared" si="1740"/>
        <v>2.7911748981078198E-2</v>
      </c>
      <c r="F3318" s="4">
        <f t="shared" si="1740"/>
        <v>2.7911748981078198E-2</v>
      </c>
      <c r="G3318" s="4">
        <f t="shared" si="1740"/>
        <v>2.7911748981078198E-2</v>
      </c>
      <c r="H3318" s="4">
        <f t="shared" si="1740"/>
        <v>2.7911748981078198E-2</v>
      </c>
      <c r="I3318" s="4">
        <f t="shared" si="1740"/>
        <v>2.7911748981078198E-2</v>
      </c>
      <c r="J3318" s="4">
        <f t="shared" si="1740"/>
        <v>2.7911748981078198E-2</v>
      </c>
      <c r="K3318" s="4">
        <f t="shared" si="1740"/>
        <v>2.7911748981078198E-2</v>
      </c>
      <c r="L3318" s="4">
        <f t="shared" si="1740"/>
        <v>2.7911748981078198E-2</v>
      </c>
      <c r="M3318" s="4">
        <f t="shared" si="1740"/>
        <v>2.7911748981078198E-2</v>
      </c>
      <c r="N3318" t="s">
        <v>256</v>
      </c>
      <c r="O3318" t="s">
        <v>409</v>
      </c>
      <c r="P3318" t="s">
        <v>411</v>
      </c>
      <c r="Q3318" s="4" t="s">
        <v>245</v>
      </c>
    </row>
    <row r="3319" spans="1:17" x14ac:dyDescent="0.25">
      <c r="A3319" t="s">
        <v>411</v>
      </c>
      <c r="B3319" t="s">
        <v>175</v>
      </c>
      <c r="C3319" s="4">
        <f t="shared" ref="C3319:M3319" si="1741">(0.3663259998074/(0.144688166399844+0.3663259998074)) * 9.85795831673968%</f>
        <v>7.0667834186318598E-2</v>
      </c>
      <c r="D3319" s="4">
        <f t="shared" si="1741"/>
        <v>7.0667834186318598E-2</v>
      </c>
      <c r="E3319" s="4">
        <f t="shared" si="1741"/>
        <v>7.0667834186318598E-2</v>
      </c>
      <c r="F3319" s="4">
        <f t="shared" si="1741"/>
        <v>7.0667834186318598E-2</v>
      </c>
      <c r="G3319" s="4">
        <f t="shared" si="1741"/>
        <v>7.0667834186318598E-2</v>
      </c>
      <c r="H3319" s="4">
        <f t="shared" si="1741"/>
        <v>7.0667834186318598E-2</v>
      </c>
      <c r="I3319" s="4">
        <f t="shared" si="1741"/>
        <v>7.0667834186318598E-2</v>
      </c>
      <c r="J3319" s="4">
        <f t="shared" si="1741"/>
        <v>7.0667834186318598E-2</v>
      </c>
      <c r="K3319" s="4">
        <f t="shared" si="1741"/>
        <v>7.0667834186318598E-2</v>
      </c>
      <c r="L3319" s="4">
        <f t="shared" si="1741"/>
        <v>7.0667834186318598E-2</v>
      </c>
      <c r="M3319" s="4">
        <f t="shared" si="1741"/>
        <v>7.0667834186318598E-2</v>
      </c>
      <c r="N3319" t="s">
        <v>256</v>
      </c>
      <c r="O3319" t="s">
        <v>410</v>
      </c>
      <c r="P3319" t="s">
        <v>411</v>
      </c>
      <c r="Q3319" s="4" t="s">
        <v>245</v>
      </c>
    </row>
    <row r="3320" spans="1:17" x14ac:dyDescent="0.25">
      <c r="A3320" t="s">
        <v>411</v>
      </c>
      <c r="B3320" t="s">
        <v>202</v>
      </c>
      <c r="C3320" s="4">
        <f t="shared" ref="C3320:M3320" si="1742">(0.144688166399844/(0.144688166399844+0.3663259998074)) * 5.51136902391383%</f>
        <v>1.5604848772423048E-2</v>
      </c>
      <c r="D3320" s="4">
        <f t="shared" si="1742"/>
        <v>1.5604848772423048E-2</v>
      </c>
      <c r="E3320" s="4">
        <f t="shared" si="1742"/>
        <v>1.5604848772423048E-2</v>
      </c>
      <c r="F3320" s="4">
        <f t="shared" si="1742"/>
        <v>1.5604848772423048E-2</v>
      </c>
      <c r="G3320" s="4">
        <f t="shared" si="1742"/>
        <v>1.5604848772423048E-2</v>
      </c>
      <c r="H3320" s="4">
        <f t="shared" si="1742"/>
        <v>1.5604848772423048E-2</v>
      </c>
      <c r="I3320" s="4">
        <f t="shared" si="1742"/>
        <v>1.5604848772423048E-2</v>
      </c>
      <c r="J3320" s="4">
        <f t="shared" si="1742"/>
        <v>1.5604848772423048E-2</v>
      </c>
      <c r="K3320" s="4">
        <f t="shared" si="1742"/>
        <v>1.5604848772423048E-2</v>
      </c>
      <c r="L3320" s="4">
        <f t="shared" si="1742"/>
        <v>1.5604848772423048E-2</v>
      </c>
      <c r="M3320" s="4">
        <f t="shared" si="1742"/>
        <v>1.5604848772423048E-2</v>
      </c>
      <c r="N3320" t="s">
        <v>256</v>
      </c>
      <c r="O3320" t="s">
        <v>409</v>
      </c>
      <c r="P3320" t="s">
        <v>411</v>
      </c>
      <c r="Q3320" s="4" t="s">
        <v>245</v>
      </c>
    </row>
    <row r="3321" spans="1:17" x14ac:dyDescent="0.25">
      <c r="A3321" t="s">
        <v>411</v>
      </c>
      <c r="B3321" s="6" t="s">
        <v>202</v>
      </c>
      <c r="C3321" s="4">
        <f t="shared" ref="C3321:M3321" si="1743">(0.3663259998074/(0.144688166399844+0.3663259998074)) * 5.51136902391383%</f>
        <v>3.9508841466715246E-2</v>
      </c>
      <c r="D3321" s="4">
        <f t="shared" si="1743"/>
        <v>3.9508841466715246E-2</v>
      </c>
      <c r="E3321" s="4">
        <f t="shared" si="1743"/>
        <v>3.9508841466715246E-2</v>
      </c>
      <c r="F3321" s="4">
        <f t="shared" si="1743"/>
        <v>3.9508841466715246E-2</v>
      </c>
      <c r="G3321" s="4">
        <f t="shared" si="1743"/>
        <v>3.9508841466715246E-2</v>
      </c>
      <c r="H3321" s="4">
        <f t="shared" si="1743"/>
        <v>3.9508841466715246E-2</v>
      </c>
      <c r="I3321" s="4">
        <f t="shared" si="1743"/>
        <v>3.9508841466715246E-2</v>
      </c>
      <c r="J3321" s="4">
        <f t="shared" si="1743"/>
        <v>3.9508841466715246E-2</v>
      </c>
      <c r="K3321" s="4">
        <f t="shared" si="1743"/>
        <v>3.9508841466715246E-2</v>
      </c>
      <c r="L3321" s="4">
        <f t="shared" si="1743"/>
        <v>3.9508841466715246E-2</v>
      </c>
      <c r="M3321" s="4">
        <f t="shared" si="1743"/>
        <v>3.9508841466715246E-2</v>
      </c>
      <c r="N3321" t="s">
        <v>256</v>
      </c>
      <c r="O3321" t="s">
        <v>410</v>
      </c>
      <c r="P3321" t="s">
        <v>411</v>
      </c>
      <c r="Q3321" s="4" t="s">
        <v>245</v>
      </c>
    </row>
    <row r="3322" spans="1:17" x14ac:dyDescent="0.25">
      <c r="A3322" t="s">
        <v>411</v>
      </c>
      <c r="B3322" t="s">
        <v>106</v>
      </c>
      <c r="C3322" s="4">
        <f t="shared" ref="C3322:M3322" si="1744">(0.144688166399844/(0.144688166399844+0.3663259998074)) * 0.0853387950162144%</f>
        <v>2.4162762189767979E-4</v>
      </c>
      <c r="D3322" s="4">
        <f t="shared" si="1744"/>
        <v>2.4162762189767979E-4</v>
      </c>
      <c r="E3322" s="4">
        <f t="shared" si="1744"/>
        <v>2.4162762189767979E-4</v>
      </c>
      <c r="F3322" s="4">
        <f t="shared" si="1744"/>
        <v>2.4162762189767979E-4</v>
      </c>
      <c r="G3322" s="4">
        <f t="shared" si="1744"/>
        <v>2.4162762189767979E-4</v>
      </c>
      <c r="H3322" s="4">
        <f t="shared" si="1744"/>
        <v>2.4162762189767979E-4</v>
      </c>
      <c r="I3322" s="4">
        <f t="shared" si="1744"/>
        <v>2.4162762189767979E-4</v>
      </c>
      <c r="J3322" s="4">
        <f t="shared" si="1744"/>
        <v>2.4162762189767979E-4</v>
      </c>
      <c r="K3322" s="4">
        <f t="shared" si="1744"/>
        <v>2.4162762189767979E-4</v>
      </c>
      <c r="L3322" s="4">
        <f t="shared" si="1744"/>
        <v>2.4162762189767979E-4</v>
      </c>
      <c r="M3322" s="4">
        <f t="shared" si="1744"/>
        <v>2.4162762189767979E-4</v>
      </c>
      <c r="N3322" t="s">
        <v>256</v>
      </c>
      <c r="O3322" t="s">
        <v>409</v>
      </c>
      <c r="P3322" t="s">
        <v>411</v>
      </c>
      <c r="Q3322" s="4" t="s">
        <v>245</v>
      </c>
    </row>
    <row r="3323" spans="1:17" x14ac:dyDescent="0.25">
      <c r="A3323" t="s">
        <v>411</v>
      </c>
      <c r="B3323" t="s">
        <v>106</v>
      </c>
      <c r="C3323" s="4">
        <f t="shared" ref="C3323:M3323" si="1745">(0.3663259998074/(0.144688166399844+0.3663259998074)) * 0.0853387950162144%</f>
        <v>6.1176032826446415E-4</v>
      </c>
      <c r="D3323" s="4">
        <f t="shared" si="1745"/>
        <v>6.1176032826446415E-4</v>
      </c>
      <c r="E3323" s="4">
        <f t="shared" si="1745"/>
        <v>6.1176032826446415E-4</v>
      </c>
      <c r="F3323" s="4">
        <f t="shared" si="1745"/>
        <v>6.1176032826446415E-4</v>
      </c>
      <c r="G3323" s="4">
        <f t="shared" si="1745"/>
        <v>6.1176032826446415E-4</v>
      </c>
      <c r="H3323" s="4">
        <f t="shared" si="1745"/>
        <v>6.1176032826446415E-4</v>
      </c>
      <c r="I3323" s="4">
        <f t="shared" si="1745"/>
        <v>6.1176032826446415E-4</v>
      </c>
      <c r="J3323" s="4">
        <f t="shared" si="1745"/>
        <v>6.1176032826446415E-4</v>
      </c>
      <c r="K3323" s="4">
        <f t="shared" si="1745"/>
        <v>6.1176032826446415E-4</v>
      </c>
      <c r="L3323" s="4">
        <f t="shared" si="1745"/>
        <v>6.1176032826446415E-4</v>
      </c>
      <c r="M3323" s="4">
        <f t="shared" si="1745"/>
        <v>6.1176032826446415E-4</v>
      </c>
      <c r="N3323" t="s">
        <v>256</v>
      </c>
      <c r="O3323" t="s">
        <v>410</v>
      </c>
      <c r="P3323" t="s">
        <v>411</v>
      </c>
      <c r="Q3323" s="4" t="s">
        <v>245</v>
      </c>
    </row>
    <row r="3324" spans="1:17" x14ac:dyDescent="0.25">
      <c r="A3324" t="s">
        <v>411</v>
      </c>
      <c r="B3324" t="s">
        <v>107</v>
      </c>
      <c r="C3324" s="4">
        <f t="shared" ref="C3324:M3324" si="1746">(0.144688166399844/(0.144688166399844+0.3663259998074)) * 5.39075686029091%</f>
        <v>1.5263348400140984E-2</v>
      </c>
      <c r="D3324" s="4">
        <f t="shared" si="1746"/>
        <v>1.5263348400140984E-2</v>
      </c>
      <c r="E3324" s="4">
        <f t="shared" si="1746"/>
        <v>1.5263348400140984E-2</v>
      </c>
      <c r="F3324" s="4">
        <f t="shared" si="1746"/>
        <v>1.5263348400140984E-2</v>
      </c>
      <c r="G3324" s="4">
        <f t="shared" si="1746"/>
        <v>1.5263348400140984E-2</v>
      </c>
      <c r="H3324" s="4">
        <f t="shared" si="1746"/>
        <v>1.5263348400140984E-2</v>
      </c>
      <c r="I3324" s="4">
        <f t="shared" si="1746"/>
        <v>1.5263348400140984E-2</v>
      </c>
      <c r="J3324" s="4">
        <f t="shared" si="1746"/>
        <v>1.5263348400140984E-2</v>
      </c>
      <c r="K3324" s="4">
        <f t="shared" si="1746"/>
        <v>1.5263348400140984E-2</v>
      </c>
      <c r="L3324" s="4">
        <f t="shared" si="1746"/>
        <v>1.5263348400140984E-2</v>
      </c>
      <c r="M3324" s="4">
        <f t="shared" si="1746"/>
        <v>1.5263348400140984E-2</v>
      </c>
      <c r="N3324" t="s">
        <v>256</v>
      </c>
      <c r="O3324" t="s">
        <v>409</v>
      </c>
      <c r="P3324" t="s">
        <v>411</v>
      </c>
      <c r="Q3324" s="4" t="s">
        <v>245</v>
      </c>
    </row>
    <row r="3325" spans="1:17" x14ac:dyDescent="0.25">
      <c r="A3325" t="s">
        <v>411</v>
      </c>
      <c r="B3325" t="s">
        <v>107</v>
      </c>
      <c r="C3325" s="4">
        <f t="shared" ref="C3325:M3325" si="1747">(0.3663259998074/(0.144688166399844+0.3663259998074)) * 5.39075686029091%</f>
        <v>3.8644220202768108E-2</v>
      </c>
      <c r="D3325" s="4">
        <f t="shared" si="1747"/>
        <v>3.8644220202768108E-2</v>
      </c>
      <c r="E3325" s="4">
        <f t="shared" si="1747"/>
        <v>3.8644220202768108E-2</v>
      </c>
      <c r="F3325" s="4">
        <f t="shared" si="1747"/>
        <v>3.8644220202768108E-2</v>
      </c>
      <c r="G3325" s="4">
        <f t="shared" si="1747"/>
        <v>3.8644220202768108E-2</v>
      </c>
      <c r="H3325" s="4">
        <f t="shared" si="1747"/>
        <v>3.8644220202768108E-2</v>
      </c>
      <c r="I3325" s="4">
        <f t="shared" si="1747"/>
        <v>3.8644220202768108E-2</v>
      </c>
      <c r="J3325" s="4">
        <f t="shared" si="1747"/>
        <v>3.8644220202768108E-2</v>
      </c>
      <c r="K3325" s="4">
        <f t="shared" si="1747"/>
        <v>3.8644220202768108E-2</v>
      </c>
      <c r="L3325" s="4">
        <f t="shared" si="1747"/>
        <v>3.8644220202768108E-2</v>
      </c>
      <c r="M3325" s="4">
        <f t="shared" si="1747"/>
        <v>3.8644220202768108E-2</v>
      </c>
      <c r="N3325" t="s">
        <v>256</v>
      </c>
      <c r="O3325" t="s">
        <v>410</v>
      </c>
      <c r="P3325" t="s">
        <v>411</v>
      </c>
      <c r="Q3325" s="4" t="s">
        <v>245</v>
      </c>
    </row>
    <row r="3326" spans="1:17" x14ac:dyDescent="0.25">
      <c r="A3326" t="s">
        <v>411</v>
      </c>
      <c r="B3326" t="s">
        <v>137</v>
      </c>
      <c r="C3326" s="4">
        <f t="shared" ref="C3326:M3326" si="1748">(0.144688166399844/(0.144688166399844+0.3663259998074)) * 0.377007832204965%</f>
        <v>1.0674571385168609E-3</v>
      </c>
      <c r="D3326" s="4">
        <f t="shared" si="1748"/>
        <v>1.0674571385168609E-3</v>
      </c>
      <c r="E3326" s="4">
        <f t="shared" si="1748"/>
        <v>1.0674571385168609E-3</v>
      </c>
      <c r="F3326" s="4">
        <f t="shared" si="1748"/>
        <v>1.0674571385168609E-3</v>
      </c>
      <c r="G3326" s="4">
        <f t="shared" si="1748"/>
        <v>1.0674571385168609E-3</v>
      </c>
      <c r="H3326" s="4">
        <f t="shared" si="1748"/>
        <v>1.0674571385168609E-3</v>
      </c>
      <c r="I3326" s="4">
        <f t="shared" si="1748"/>
        <v>1.0674571385168609E-3</v>
      </c>
      <c r="J3326" s="4">
        <f t="shared" si="1748"/>
        <v>1.0674571385168609E-3</v>
      </c>
      <c r="K3326" s="4">
        <f t="shared" si="1748"/>
        <v>1.0674571385168609E-3</v>
      </c>
      <c r="L3326" s="4">
        <f t="shared" si="1748"/>
        <v>1.0674571385168609E-3</v>
      </c>
      <c r="M3326" s="4">
        <f t="shared" si="1748"/>
        <v>1.0674571385168609E-3</v>
      </c>
      <c r="N3326" t="s">
        <v>256</v>
      </c>
      <c r="O3326" t="s">
        <v>409</v>
      </c>
      <c r="P3326" t="s">
        <v>411</v>
      </c>
      <c r="Q3326" s="4" t="s">
        <v>245</v>
      </c>
    </row>
    <row r="3327" spans="1:17" x14ac:dyDescent="0.25">
      <c r="A3327" t="s">
        <v>411</v>
      </c>
      <c r="B3327" t="s">
        <v>137</v>
      </c>
      <c r="C3327" s="4">
        <f t="shared" ref="C3327:M3327" si="1749">(0.3663259998074/(0.144688166399844+0.3663259998074)) * 0.377007832204965%</f>
        <v>2.702621183532788E-3</v>
      </c>
      <c r="D3327" s="4">
        <f t="shared" si="1749"/>
        <v>2.702621183532788E-3</v>
      </c>
      <c r="E3327" s="4">
        <f t="shared" si="1749"/>
        <v>2.702621183532788E-3</v>
      </c>
      <c r="F3327" s="4">
        <f t="shared" si="1749"/>
        <v>2.702621183532788E-3</v>
      </c>
      <c r="G3327" s="4">
        <f t="shared" si="1749"/>
        <v>2.702621183532788E-3</v>
      </c>
      <c r="H3327" s="4">
        <f t="shared" si="1749"/>
        <v>2.702621183532788E-3</v>
      </c>
      <c r="I3327" s="4">
        <f t="shared" si="1749"/>
        <v>2.702621183532788E-3</v>
      </c>
      <c r="J3327" s="4">
        <f t="shared" si="1749"/>
        <v>2.702621183532788E-3</v>
      </c>
      <c r="K3327" s="4">
        <f t="shared" si="1749"/>
        <v>2.702621183532788E-3</v>
      </c>
      <c r="L3327" s="4">
        <f t="shared" si="1749"/>
        <v>2.702621183532788E-3</v>
      </c>
      <c r="M3327" s="4">
        <f t="shared" si="1749"/>
        <v>2.702621183532788E-3</v>
      </c>
      <c r="N3327" t="s">
        <v>256</v>
      </c>
      <c r="O3327" t="s">
        <v>410</v>
      </c>
      <c r="P3327" t="s">
        <v>411</v>
      </c>
      <c r="Q3327" s="4" t="s">
        <v>245</v>
      </c>
    </row>
    <row r="3328" spans="1:17" x14ac:dyDescent="0.25">
      <c r="A3328" t="s">
        <v>411</v>
      </c>
      <c r="B3328" t="s">
        <v>113</v>
      </c>
      <c r="C3328" s="4">
        <f t="shared" ref="C3328:M3328" si="1750">(0.100925868687875/(0.100925868687875+0.388059965104881)) * 0.604577952248203%</f>
        <v>1.2478389107290009E-3</v>
      </c>
      <c r="D3328" s="4">
        <f t="shared" si="1750"/>
        <v>1.2478389107290009E-3</v>
      </c>
      <c r="E3328" s="4">
        <f t="shared" si="1750"/>
        <v>1.2478389107290009E-3</v>
      </c>
      <c r="F3328" s="4">
        <f t="shared" si="1750"/>
        <v>1.2478389107290009E-3</v>
      </c>
      <c r="G3328" s="4">
        <f t="shared" si="1750"/>
        <v>1.2478389107290009E-3</v>
      </c>
      <c r="H3328" s="4">
        <f t="shared" si="1750"/>
        <v>1.2478389107290009E-3</v>
      </c>
      <c r="I3328" s="4">
        <f t="shared" si="1750"/>
        <v>1.2478389107290009E-3</v>
      </c>
      <c r="J3328" s="4">
        <f t="shared" si="1750"/>
        <v>1.2478389107290009E-3</v>
      </c>
      <c r="K3328" s="4">
        <f t="shared" si="1750"/>
        <v>1.2478389107290009E-3</v>
      </c>
      <c r="L3328" s="4">
        <f t="shared" si="1750"/>
        <v>1.2478389107290009E-3</v>
      </c>
      <c r="M3328" s="4">
        <f t="shared" si="1750"/>
        <v>1.2478389107290009E-3</v>
      </c>
      <c r="N3328" t="s">
        <v>253</v>
      </c>
      <c r="O3328" t="s">
        <v>409</v>
      </c>
      <c r="P3328" t="s">
        <v>411</v>
      </c>
      <c r="Q3328" s="4" t="s">
        <v>245</v>
      </c>
    </row>
    <row r="3329" spans="1:18" x14ac:dyDescent="0.25">
      <c r="A3329" t="s">
        <v>411</v>
      </c>
      <c r="B3329" t="s">
        <v>113</v>
      </c>
      <c r="C3329" s="4">
        <f t="shared" ref="C3329:M3329" si="1751">(0.388059965104881/(0.100925868687875+0.388059965104881)) * 0.604577952248203%</f>
        <v>4.797940611753029E-3</v>
      </c>
      <c r="D3329" s="4">
        <f t="shared" si="1751"/>
        <v>4.797940611753029E-3</v>
      </c>
      <c r="E3329" s="4">
        <f t="shared" si="1751"/>
        <v>4.797940611753029E-3</v>
      </c>
      <c r="F3329" s="4">
        <f t="shared" si="1751"/>
        <v>4.797940611753029E-3</v>
      </c>
      <c r="G3329" s="4">
        <f t="shared" si="1751"/>
        <v>4.797940611753029E-3</v>
      </c>
      <c r="H3329" s="4">
        <f t="shared" si="1751"/>
        <v>4.797940611753029E-3</v>
      </c>
      <c r="I3329" s="4">
        <f t="shared" si="1751"/>
        <v>4.797940611753029E-3</v>
      </c>
      <c r="J3329" s="4">
        <f t="shared" si="1751"/>
        <v>4.797940611753029E-3</v>
      </c>
      <c r="K3329" s="4">
        <f t="shared" si="1751"/>
        <v>4.797940611753029E-3</v>
      </c>
      <c r="L3329" s="4">
        <f t="shared" si="1751"/>
        <v>4.797940611753029E-3</v>
      </c>
      <c r="M3329" s="4">
        <f t="shared" si="1751"/>
        <v>4.797940611753029E-3</v>
      </c>
      <c r="N3329" t="s">
        <v>253</v>
      </c>
      <c r="O3329" t="s">
        <v>410</v>
      </c>
      <c r="P3329" t="s">
        <v>411</v>
      </c>
      <c r="Q3329" s="4" t="s">
        <v>245</v>
      </c>
    </row>
    <row r="3330" spans="1:18" x14ac:dyDescent="0.25">
      <c r="A3330" t="s">
        <v>411</v>
      </c>
      <c r="B3330" t="s">
        <v>122</v>
      </c>
      <c r="C3330" s="4">
        <f t="shared" ref="C3330:M3330" si="1752">(0.144688166399844/(0.144688166399844+0.3663259998074)) * 1.32635451631867%</f>
        <v>3.7554301945608151E-3</v>
      </c>
      <c r="D3330" s="4">
        <f t="shared" si="1752"/>
        <v>3.7554301945608151E-3</v>
      </c>
      <c r="E3330" s="4">
        <f t="shared" si="1752"/>
        <v>3.7554301945608151E-3</v>
      </c>
      <c r="F3330" s="4">
        <f t="shared" si="1752"/>
        <v>3.7554301945608151E-3</v>
      </c>
      <c r="G3330" s="4">
        <f t="shared" si="1752"/>
        <v>3.7554301945608151E-3</v>
      </c>
      <c r="H3330" s="4">
        <f t="shared" si="1752"/>
        <v>3.7554301945608151E-3</v>
      </c>
      <c r="I3330" s="4">
        <f t="shared" si="1752"/>
        <v>3.7554301945608151E-3</v>
      </c>
      <c r="J3330" s="4">
        <f t="shared" si="1752"/>
        <v>3.7554301945608151E-3</v>
      </c>
      <c r="K3330" s="4">
        <f t="shared" si="1752"/>
        <v>3.7554301945608151E-3</v>
      </c>
      <c r="L3330" s="4">
        <f t="shared" si="1752"/>
        <v>3.7554301945608151E-3</v>
      </c>
      <c r="M3330" s="4">
        <f t="shared" si="1752"/>
        <v>3.7554301945608151E-3</v>
      </c>
      <c r="N3330" t="s">
        <v>256</v>
      </c>
      <c r="O3330" t="s">
        <v>409</v>
      </c>
      <c r="P3330" t="s">
        <v>411</v>
      </c>
      <c r="Q3330" s="4" t="s">
        <v>245</v>
      </c>
    </row>
    <row r="3331" spans="1:18" x14ac:dyDescent="0.25">
      <c r="A3331" t="s">
        <v>411</v>
      </c>
      <c r="B3331" t="s">
        <v>122</v>
      </c>
      <c r="C3331" s="4">
        <f t="shared" ref="C3331:M3331" si="1753">(0.3663259998074/(0.144688166399844+0.3663259998074)) * 1.32635451631867%</f>
        <v>9.5081149686258842E-3</v>
      </c>
      <c r="D3331" s="4">
        <f t="shared" si="1753"/>
        <v>9.5081149686258842E-3</v>
      </c>
      <c r="E3331" s="4">
        <f t="shared" si="1753"/>
        <v>9.5081149686258842E-3</v>
      </c>
      <c r="F3331" s="4">
        <f t="shared" si="1753"/>
        <v>9.5081149686258842E-3</v>
      </c>
      <c r="G3331" s="4">
        <f t="shared" si="1753"/>
        <v>9.5081149686258842E-3</v>
      </c>
      <c r="H3331" s="4">
        <f t="shared" si="1753"/>
        <v>9.5081149686258842E-3</v>
      </c>
      <c r="I3331" s="4">
        <f t="shared" si="1753"/>
        <v>9.5081149686258842E-3</v>
      </c>
      <c r="J3331" s="4">
        <f t="shared" si="1753"/>
        <v>9.5081149686258842E-3</v>
      </c>
      <c r="K3331" s="4">
        <f t="shared" si="1753"/>
        <v>9.5081149686258842E-3</v>
      </c>
      <c r="L3331" s="4">
        <f t="shared" si="1753"/>
        <v>9.5081149686258842E-3</v>
      </c>
      <c r="M3331" s="4">
        <f t="shared" si="1753"/>
        <v>9.5081149686258842E-3</v>
      </c>
      <c r="N3331" t="s">
        <v>256</v>
      </c>
      <c r="O3331" t="s">
        <v>410</v>
      </c>
      <c r="P3331" t="s">
        <v>411</v>
      </c>
      <c r="Q3331" s="4" t="s">
        <v>245</v>
      </c>
    </row>
    <row r="3332" spans="1:18" x14ac:dyDescent="0.25">
      <c r="A3332" t="s">
        <v>411</v>
      </c>
      <c r="B3332" t="s">
        <v>180</v>
      </c>
      <c r="C3332" s="4">
        <f t="shared" ref="C3332:M3332" si="1754">(0.144688166399844/(0.144688166399844+0.3663259998074)) * 6.58056930458364%</f>
        <v>1.8632174399665521E-2</v>
      </c>
      <c r="D3332" s="4">
        <f t="shared" si="1754"/>
        <v>1.8632174399665521E-2</v>
      </c>
      <c r="E3332" s="4">
        <f t="shared" si="1754"/>
        <v>1.8632174399665521E-2</v>
      </c>
      <c r="F3332" s="4">
        <f t="shared" si="1754"/>
        <v>1.8632174399665521E-2</v>
      </c>
      <c r="G3332" s="4">
        <f t="shared" si="1754"/>
        <v>1.8632174399665521E-2</v>
      </c>
      <c r="H3332" s="4">
        <f t="shared" si="1754"/>
        <v>1.8632174399665521E-2</v>
      </c>
      <c r="I3332" s="4">
        <f t="shared" si="1754"/>
        <v>1.8632174399665521E-2</v>
      </c>
      <c r="J3332" s="4">
        <f t="shared" si="1754"/>
        <v>1.8632174399665521E-2</v>
      </c>
      <c r="K3332" s="4">
        <f t="shared" si="1754"/>
        <v>1.8632174399665521E-2</v>
      </c>
      <c r="L3332" s="4">
        <f t="shared" si="1754"/>
        <v>1.8632174399665521E-2</v>
      </c>
      <c r="M3332" s="4">
        <f t="shared" si="1754"/>
        <v>1.8632174399665521E-2</v>
      </c>
      <c r="N3332" t="s">
        <v>256</v>
      </c>
      <c r="O3332" t="s">
        <v>409</v>
      </c>
      <c r="P3332" t="s">
        <v>411</v>
      </c>
      <c r="Q3332" s="4" t="s">
        <v>245</v>
      </c>
    </row>
    <row r="3333" spans="1:18" x14ac:dyDescent="0.25">
      <c r="A3333" t="s">
        <v>411</v>
      </c>
      <c r="B3333" t="s">
        <v>180</v>
      </c>
      <c r="C3333" s="4">
        <f t="shared" ref="C3333:M3333" si="1755">(0.3663259998074/(0.144688166399844+0.3663259998074)) * 6.58056930458364%</f>
        <v>4.7173518646170871E-2</v>
      </c>
      <c r="D3333" s="4">
        <f t="shared" si="1755"/>
        <v>4.7173518646170871E-2</v>
      </c>
      <c r="E3333" s="4">
        <f t="shared" si="1755"/>
        <v>4.7173518646170871E-2</v>
      </c>
      <c r="F3333" s="4">
        <f t="shared" si="1755"/>
        <v>4.7173518646170871E-2</v>
      </c>
      <c r="G3333" s="4">
        <f t="shared" si="1755"/>
        <v>4.7173518646170871E-2</v>
      </c>
      <c r="H3333" s="4">
        <f t="shared" si="1755"/>
        <v>4.7173518646170871E-2</v>
      </c>
      <c r="I3333" s="4">
        <f t="shared" si="1755"/>
        <v>4.7173518646170871E-2</v>
      </c>
      <c r="J3333" s="4">
        <f t="shared" si="1755"/>
        <v>4.7173518646170871E-2</v>
      </c>
      <c r="K3333" s="4">
        <f t="shared" si="1755"/>
        <v>4.7173518646170871E-2</v>
      </c>
      <c r="L3333" s="4">
        <f t="shared" si="1755"/>
        <v>4.7173518646170871E-2</v>
      </c>
      <c r="M3333" s="4">
        <f t="shared" si="1755"/>
        <v>4.7173518646170871E-2</v>
      </c>
      <c r="N3333" t="s">
        <v>256</v>
      </c>
      <c r="O3333" t="s">
        <v>410</v>
      </c>
      <c r="P3333" t="s">
        <v>411</v>
      </c>
      <c r="Q3333" s="4" t="s">
        <v>245</v>
      </c>
    </row>
    <row r="3334" spans="1:18" x14ac:dyDescent="0.25">
      <c r="A3334" s="6" t="s">
        <v>699</v>
      </c>
      <c r="B3334" t="s">
        <v>85</v>
      </c>
      <c r="C3334" s="4">
        <v>5.9688513738534087E-2</v>
      </c>
      <c r="D3334" s="4">
        <v>5.9688513738534087E-2</v>
      </c>
      <c r="E3334" s="4">
        <v>5.9688513738534087E-2</v>
      </c>
      <c r="F3334" s="4">
        <v>5.9688513738534087E-2</v>
      </c>
      <c r="G3334" s="4">
        <v>5.9688513738534087E-2</v>
      </c>
      <c r="H3334" s="4">
        <v>5.9688513738534087E-2</v>
      </c>
      <c r="I3334" s="4">
        <v>5.9688513738534087E-2</v>
      </c>
      <c r="J3334" s="4">
        <v>5.9688513738534087E-2</v>
      </c>
      <c r="K3334" s="4">
        <v>5.9688513738534087E-2</v>
      </c>
      <c r="L3334" s="4">
        <v>5.9688513738534087E-2</v>
      </c>
      <c r="M3334" s="4">
        <v>5.9688513738534087E-2</v>
      </c>
      <c r="N3334" t="s">
        <v>320</v>
      </c>
      <c r="O3334" s="6" t="s">
        <v>808</v>
      </c>
      <c r="P3334" s="6" t="s">
        <v>699</v>
      </c>
      <c r="Q3334" t="s">
        <v>245</v>
      </c>
      <c r="R3334" s="26" t="s">
        <v>458</v>
      </c>
    </row>
    <row r="3335" spans="1:18" x14ac:dyDescent="0.25">
      <c r="A3335" s="6" t="s">
        <v>699</v>
      </c>
      <c r="B3335" t="s">
        <v>86</v>
      </c>
      <c r="C3335" s="4">
        <v>0.58054197622738168</v>
      </c>
      <c r="D3335" s="4">
        <v>0.58054197622738168</v>
      </c>
      <c r="E3335" s="4">
        <v>0.58054197622738168</v>
      </c>
      <c r="F3335" s="4">
        <v>0.58054197622738168</v>
      </c>
      <c r="G3335" s="4">
        <v>0.58054197622738168</v>
      </c>
      <c r="H3335" s="4">
        <v>0.58054197622738168</v>
      </c>
      <c r="I3335" s="4">
        <v>0.58054197622738168</v>
      </c>
      <c r="J3335" s="4">
        <v>0.58054197622738168</v>
      </c>
      <c r="K3335" s="4">
        <v>0.58054197622738168</v>
      </c>
      <c r="L3335" s="4">
        <v>0.58054197622738168</v>
      </c>
      <c r="M3335" s="4">
        <v>0.58054197622738168</v>
      </c>
      <c r="N3335" t="s">
        <v>254</v>
      </c>
      <c r="O3335" s="6" t="s">
        <v>808</v>
      </c>
      <c r="P3335" s="6" t="s">
        <v>699</v>
      </c>
      <c r="Q3335" t="s">
        <v>245</v>
      </c>
      <c r="R3335" t="s">
        <v>586</v>
      </c>
    </row>
    <row r="3336" spans="1:18" x14ac:dyDescent="0.25">
      <c r="A3336" s="6" t="s">
        <v>699</v>
      </c>
      <c r="B3336" t="s">
        <v>97</v>
      </c>
      <c r="C3336" s="4">
        <v>4.1978283125223559E-3</v>
      </c>
      <c r="D3336" s="4">
        <v>4.1978283125223559E-3</v>
      </c>
      <c r="E3336" s="4">
        <v>4.1978283125223559E-3</v>
      </c>
      <c r="F3336" s="4">
        <v>4.1978283125223559E-3</v>
      </c>
      <c r="G3336" s="4">
        <v>4.1978283125223559E-3</v>
      </c>
      <c r="H3336" s="4">
        <v>4.1978283125223559E-3</v>
      </c>
      <c r="I3336" s="4">
        <v>4.1978283125223559E-3</v>
      </c>
      <c r="J3336" s="4">
        <v>4.1978283125223559E-3</v>
      </c>
      <c r="K3336" s="4">
        <v>4.1978283125223559E-3</v>
      </c>
      <c r="L3336" s="4">
        <v>4.1978283125223559E-3</v>
      </c>
      <c r="M3336" s="4">
        <v>4.1978283125223559E-3</v>
      </c>
      <c r="N3336" t="s">
        <v>320</v>
      </c>
      <c r="O3336" s="6" t="s">
        <v>808</v>
      </c>
      <c r="P3336" s="6" t="s">
        <v>699</v>
      </c>
      <c r="Q3336" t="s">
        <v>245</v>
      </c>
    </row>
    <row r="3337" spans="1:18" x14ac:dyDescent="0.25">
      <c r="A3337" s="6" t="s">
        <v>699</v>
      </c>
      <c r="B3337" t="s">
        <v>102</v>
      </c>
      <c r="C3337" s="4">
        <v>1.027871770940832E-2</v>
      </c>
      <c r="D3337" s="4">
        <v>1.027871770940832E-2</v>
      </c>
      <c r="E3337" s="4">
        <v>1.027871770940832E-2</v>
      </c>
      <c r="F3337" s="4">
        <v>1.027871770940832E-2</v>
      </c>
      <c r="G3337" s="4">
        <v>1.027871770940832E-2</v>
      </c>
      <c r="H3337" s="4">
        <v>1.027871770940832E-2</v>
      </c>
      <c r="I3337" s="4">
        <v>1.027871770940832E-2</v>
      </c>
      <c r="J3337" s="4">
        <v>1.027871770940832E-2</v>
      </c>
      <c r="K3337" s="4">
        <v>1.027871770940832E-2</v>
      </c>
      <c r="L3337" s="4">
        <v>1.027871770940832E-2</v>
      </c>
      <c r="M3337" s="4">
        <v>1.027871770940832E-2</v>
      </c>
      <c r="N3337" t="s">
        <v>320</v>
      </c>
      <c r="O3337" s="6" t="s">
        <v>808</v>
      </c>
      <c r="P3337" s="6" t="s">
        <v>699</v>
      </c>
      <c r="Q3337" t="s">
        <v>245</v>
      </c>
    </row>
    <row r="3338" spans="1:18" x14ac:dyDescent="0.25">
      <c r="A3338" s="6" t="s">
        <v>699</v>
      </c>
      <c r="B3338" t="s">
        <v>107</v>
      </c>
      <c r="C3338" s="4">
        <v>0.19253888438909469</v>
      </c>
      <c r="D3338" s="4">
        <v>0.19253888438909469</v>
      </c>
      <c r="E3338" s="4">
        <v>0.19253888438909469</v>
      </c>
      <c r="F3338" s="4">
        <v>0.19253888438909469</v>
      </c>
      <c r="G3338" s="4">
        <v>0.19253888438909469</v>
      </c>
      <c r="H3338" s="4">
        <v>0.19253888438909469</v>
      </c>
      <c r="I3338" s="4">
        <v>0.19253888438909469</v>
      </c>
      <c r="J3338" s="4">
        <v>0.19253888438909469</v>
      </c>
      <c r="K3338" s="4">
        <v>0.19253888438909469</v>
      </c>
      <c r="L3338" s="4">
        <v>0.19253888438909469</v>
      </c>
      <c r="M3338" s="4">
        <v>0.19253888438909469</v>
      </c>
      <c r="N3338" t="s">
        <v>320</v>
      </c>
      <c r="O3338" s="6" t="s">
        <v>808</v>
      </c>
      <c r="P3338" s="6" t="s">
        <v>699</v>
      </c>
      <c r="Q3338" t="s">
        <v>245</v>
      </c>
    </row>
    <row r="3339" spans="1:18" x14ac:dyDescent="0.25">
      <c r="A3339" s="6" t="s">
        <v>699</v>
      </c>
      <c r="B3339" t="s">
        <v>137</v>
      </c>
      <c r="C3339" s="4">
        <v>0.15177348995358131</v>
      </c>
      <c r="D3339" s="4">
        <v>0.15177348995358131</v>
      </c>
      <c r="E3339" s="4">
        <v>0.15177348995358131</v>
      </c>
      <c r="F3339" s="4">
        <v>0.15177348995358131</v>
      </c>
      <c r="G3339" s="4">
        <v>0.15177348995358131</v>
      </c>
      <c r="H3339" s="4">
        <v>0.15177348995358131</v>
      </c>
      <c r="I3339" s="4">
        <v>0.15177348995358131</v>
      </c>
      <c r="J3339" s="4">
        <v>0.15177348995358131</v>
      </c>
      <c r="K3339" s="4">
        <v>0.15177348995358131</v>
      </c>
      <c r="L3339" s="4">
        <v>0.15177348995358131</v>
      </c>
      <c r="M3339" s="4">
        <v>0.15177348995358131</v>
      </c>
      <c r="N3339" t="s">
        <v>320</v>
      </c>
      <c r="O3339" s="6" t="s">
        <v>808</v>
      </c>
      <c r="P3339" s="6" t="s">
        <v>699</v>
      </c>
      <c r="Q3339" t="s">
        <v>245</v>
      </c>
    </row>
    <row r="3340" spans="1:18" x14ac:dyDescent="0.25">
      <c r="A3340" s="6" t="s">
        <v>699</v>
      </c>
      <c r="B3340" t="s">
        <v>113</v>
      </c>
      <c r="C3340" s="4">
        <v>9.8058966947755328E-4</v>
      </c>
      <c r="D3340" s="4">
        <v>9.8058966947755328E-4</v>
      </c>
      <c r="E3340" s="4">
        <v>9.8058966947755328E-4</v>
      </c>
      <c r="F3340" s="4">
        <v>9.8058966947755328E-4</v>
      </c>
      <c r="G3340" s="4">
        <v>9.8058966947755328E-4</v>
      </c>
      <c r="H3340" s="4">
        <v>9.8058966947755328E-4</v>
      </c>
      <c r="I3340" s="4">
        <v>9.8058966947755328E-4</v>
      </c>
      <c r="J3340" s="4">
        <v>9.8058966947755328E-4</v>
      </c>
      <c r="K3340" s="4">
        <v>9.8058966947755328E-4</v>
      </c>
      <c r="L3340" s="4">
        <v>9.8058966947755328E-4</v>
      </c>
      <c r="M3340" s="4">
        <v>9.8058966947755328E-4</v>
      </c>
      <c r="N3340" t="s">
        <v>320</v>
      </c>
      <c r="O3340" s="6" t="s">
        <v>808</v>
      </c>
      <c r="P3340" s="6" t="s">
        <v>699</v>
      </c>
      <c r="Q3340" t="s">
        <v>245</v>
      </c>
    </row>
    <row r="3341" spans="1:18" x14ac:dyDescent="0.25">
      <c r="A3341" s="6" t="s">
        <v>459</v>
      </c>
      <c r="B3341" t="s">
        <v>86</v>
      </c>
      <c r="C3341" s="4">
        <f t="shared" ref="C3341:M3341" si="1756">61.5%/0.887</f>
        <v>0.69334836527621191</v>
      </c>
      <c r="D3341" s="4">
        <f t="shared" si="1756"/>
        <v>0.69334836527621191</v>
      </c>
      <c r="E3341" s="4">
        <f t="shared" si="1756"/>
        <v>0.69334836527621191</v>
      </c>
      <c r="F3341" s="4">
        <f t="shared" si="1756"/>
        <v>0.69334836527621191</v>
      </c>
      <c r="G3341" s="4">
        <f t="shared" si="1756"/>
        <v>0.69334836527621191</v>
      </c>
      <c r="H3341" s="4">
        <f t="shared" si="1756"/>
        <v>0.69334836527621191</v>
      </c>
      <c r="I3341" s="4">
        <f t="shared" si="1756"/>
        <v>0.69334836527621191</v>
      </c>
      <c r="J3341" s="4">
        <f t="shared" si="1756"/>
        <v>0.69334836527621191</v>
      </c>
      <c r="K3341" s="4">
        <f t="shared" si="1756"/>
        <v>0.69334836527621191</v>
      </c>
      <c r="L3341" s="4">
        <f t="shared" si="1756"/>
        <v>0.69334836527621191</v>
      </c>
      <c r="M3341" s="4">
        <f t="shared" si="1756"/>
        <v>0.69334836527621191</v>
      </c>
      <c r="N3341" t="s">
        <v>254</v>
      </c>
      <c r="O3341" s="6" t="s">
        <v>809</v>
      </c>
      <c r="P3341" s="6" t="s">
        <v>459</v>
      </c>
      <c r="Q3341" t="s">
        <v>245</v>
      </c>
    </row>
    <row r="3342" spans="1:18" x14ac:dyDescent="0.25">
      <c r="A3342" s="6" t="s">
        <v>459</v>
      </c>
      <c r="B3342" t="s">
        <v>107</v>
      </c>
      <c r="C3342" s="4">
        <f t="shared" ref="C3342:M3342" si="1757">9%/0.887</f>
        <v>0.10146561443066515</v>
      </c>
      <c r="D3342" s="4">
        <f t="shared" si="1757"/>
        <v>0.10146561443066515</v>
      </c>
      <c r="E3342" s="4">
        <f t="shared" si="1757"/>
        <v>0.10146561443066515</v>
      </c>
      <c r="F3342" s="4">
        <f t="shared" si="1757"/>
        <v>0.10146561443066515</v>
      </c>
      <c r="G3342" s="4">
        <f t="shared" si="1757"/>
        <v>0.10146561443066515</v>
      </c>
      <c r="H3342" s="4">
        <f t="shared" si="1757"/>
        <v>0.10146561443066515</v>
      </c>
      <c r="I3342" s="4">
        <f t="shared" si="1757"/>
        <v>0.10146561443066515</v>
      </c>
      <c r="J3342" s="4">
        <f t="shared" si="1757"/>
        <v>0.10146561443066515</v>
      </c>
      <c r="K3342" s="4">
        <f t="shared" si="1757"/>
        <v>0.10146561443066515</v>
      </c>
      <c r="L3342" s="4">
        <f t="shared" si="1757"/>
        <v>0.10146561443066515</v>
      </c>
      <c r="M3342" s="4">
        <f t="shared" si="1757"/>
        <v>0.10146561443066515</v>
      </c>
      <c r="N3342" t="s">
        <v>320</v>
      </c>
      <c r="O3342" s="6" t="s">
        <v>809</v>
      </c>
      <c r="P3342" s="6" t="s">
        <v>459</v>
      </c>
      <c r="Q3342" t="s">
        <v>245</v>
      </c>
    </row>
    <row r="3343" spans="1:18" x14ac:dyDescent="0.25">
      <c r="A3343" s="6" t="s">
        <v>459</v>
      </c>
      <c r="B3343" t="s">
        <v>137</v>
      </c>
      <c r="C3343" s="4">
        <f t="shared" ref="C3343:M3343" si="1758">8.2%/0.887</f>
        <v>9.2446448703494916E-2</v>
      </c>
      <c r="D3343" s="4">
        <f t="shared" si="1758"/>
        <v>9.2446448703494916E-2</v>
      </c>
      <c r="E3343" s="4">
        <f t="shared" si="1758"/>
        <v>9.2446448703494916E-2</v>
      </c>
      <c r="F3343" s="4">
        <f t="shared" si="1758"/>
        <v>9.2446448703494916E-2</v>
      </c>
      <c r="G3343" s="4">
        <f t="shared" si="1758"/>
        <v>9.2446448703494916E-2</v>
      </c>
      <c r="H3343" s="4">
        <f t="shared" si="1758"/>
        <v>9.2446448703494916E-2</v>
      </c>
      <c r="I3343" s="4">
        <f t="shared" si="1758"/>
        <v>9.2446448703494916E-2</v>
      </c>
      <c r="J3343" s="4">
        <f t="shared" si="1758"/>
        <v>9.2446448703494916E-2</v>
      </c>
      <c r="K3343" s="4">
        <f t="shared" si="1758"/>
        <v>9.2446448703494916E-2</v>
      </c>
      <c r="L3343" s="4">
        <f t="shared" si="1758"/>
        <v>9.2446448703494916E-2</v>
      </c>
      <c r="M3343" s="4">
        <f t="shared" si="1758"/>
        <v>9.2446448703494916E-2</v>
      </c>
      <c r="N3343" t="s">
        <v>320</v>
      </c>
      <c r="O3343" s="6" t="s">
        <v>809</v>
      </c>
      <c r="P3343" s="6" t="s">
        <v>459</v>
      </c>
      <c r="Q3343" t="s">
        <v>245</v>
      </c>
    </row>
    <row r="3344" spans="1:18" x14ac:dyDescent="0.25">
      <c r="A3344" s="6" t="s">
        <v>459</v>
      </c>
      <c r="B3344" t="s">
        <v>85</v>
      </c>
      <c r="C3344" s="4">
        <f t="shared" ref="C3344:M3344" si="1759">4.8%/0.887</f>
        <v>5.4114994363021418E-2</v>
      </c>
      <c r="D3344" s="4">
        <f t="shared" si="1759"/>
        <v>5.4114994363021418E-2</v>
      </c>
      <c r="E3344" s="4">
        <f t="shared" si="1759"/>
        <v>5.4114994363021418E-2</v>
      </c>
      <c r="F3344" s="4">
        <f t="shared" si="1759"/>
        <v>5.4114994363021418E-2</v>
      </c>
      <c r="G3344" s="4">
        <f t="shared" si="1759"/>
        <v>5.4114994363021418E-2</v>
      </c>
      <c r="H3344" s="4">
        <f t="shared" si="1759"/>
        <v>5.4114994363021418E-2</v>
      </c>
      <c r="I3344" s="4">
        <f t="shared" si="1759"/>
        <v>5.4114994363021418E-2</v>
      </c>
      <c r="J3344" s="4">
        <f t="shared" si="1759"/>
        <v>5.4114994363021418E-2</v>
      </c>
      <c r="K3344" s="4">
        <f t="shared" si="1759"/>
        <v>5.4114994363021418E-2</v>
      </c>
      <c r="L3344" s="4">
        <f t="shared" si="1759"/>
        <v>5.4114994363021418E-2</v>
      </c>
      <c r="M3344" s="4">
        <f t="shared" si="1759"/>
        <v>5.4114994363021418E-2</v>
      </c>
      <c r="N3344" t="s">
        <v>320</v>
      </c>
      <c r="O3344" s="6" t="s">
        <v>809</v>
      </c>
      <c r="P3344" s="6" t="s">
        <v>459</v>
      </c>
      <c r="Q3344" t="s">
        <v>245</v>
      </c>
    </row>
    <row r="3345" spans="1:18" x14ac:dyDescent="0.25">
      <c r="A3345" s="6" t="s">
        <v>459</v>
      </c>
      <c r="B3345" t="s">
        <v>119</v>
      </c>
      <c r="C3345" s="4">
        <f t="shared" ref="C3345:M3345" si="1760">2.3%/0.887</f>
        <v>2.5930101465614429E-2</v>
      </c>
      <c r="D3345" s="4">
        <f t="shared" si="1760"/>
        <v>2.5930101465614429E-2</v>
      </c>
      <c r="E3345" s="4">
        <f t="shared" si="1760"/>
        <v>2.5930101465614429E-2</v>
      </c>
      <c r="F3345" s="4">
        <f t="shared" si="1760"/>
        <v>2.5930101465614429E-2</v>
      </c>
      <c r="G3345" s="4">
        <f t="shared" si="1760"/>
        <v>2.5930101465614429E-2</v>
      </c>
      <c r="H3345" s="4">
        <f t="shared" si="1760"/>
        <v>2.5930101465614429E-2</v>
      </c>
      <c r="I3345" s="4">
        <f t="shared" si="1760"/>
        <v>2.5930101465614429E-2</v>
      </c>
      <c r="J3345" s="4">
        <f t="shared" si="1760"/>
        <v>2.5930101465614429E-2</v>
      </c>
      <c r="K3345" s="4">
        <f t="shared" si="1760"/>
        <v>2.5930101465614429E-2</v>
      </c>
      <c r="L3345" s="4">
        <f t="shared" si="1760"/>
        <v>2.5930101465614429E-2</v>
      </c>
      <c r="M3345" s="4">
        <f t="shared" si="1760"/>
        <v>2.5930101465614429E-2</v>
      </c>
      <c r="N3345" t="s">
        <v>320</v>
      </c>
      <c r="O3345" s="6" t="s">
        <v>809</v>
      </c>
      <c r="P3345" s="6" t="s">
        <v>459</v>
      </c>
      <c r="Q3345" t="s">
        <v>245</v>
      </c>
    </row>
    <row r="3346" spans="1:18" x14ac:dyDescent="0.25">
      <c r="A3346" s="6" t="s">
        <v>459</v>
      </c>
      <c r="B3346" t="s">
        <v>97</v>
      </c>
      <c r="C3346" s="4">
        <f t="shared" ref="C3346:M3346" si="1761">1.4%/0.887</f>
        <v>1.5783540022547914E-2</v>
      </c>
      <c r="D3346" s="4">
        <f t="shared" si="1761"/>
        <v>1.5783540022547914E-2</v>
      </c>
      <c r="E3346" s="4">
        <f t="shared" si="1761"/>
        <v>1.5783540022547914E-2</v>
      </c>
      <c r="F3346" s="4">
        <f t="shared" si="1761"/>
        <v>1.5783540022547914E-2</v>
      </c>
      <c r="G3346" s="4">
        <f t="shared" si="1761"/>
        <v>1.5783540022547914E-2</v>
      </c>
      <c r="H3346" s="4">
        <f t="shared" si="1761"/>
        <v>1.5783540022547914E-2</v>
      </c>
      <c r="I3346" s="4">
        <f t="shared" si="1761"/>
        <v>1.5783540022547914E-2</v>
      </c>
      <c r="J3346" s="4">
        <f t="shared" si="1761"/>
        <v>1.5783540022547914E-2</v>
      </c>
      <c r="K3346" s="4">
        <f t="shared" si="1761"/>
        <v>1.5783540022547914E-2</v>
      </c>
      <c r="L3346" s="4">
        <f t="shared" si="1761"/>
        <v>1.5783540022547914E-2</v>
      </c>
      <c r="M3346" s="4">
        <f t="shared" si="1761"/>
        <v>1.5783540022547914E-2</v>
      </c>
      <c r="N3346" t="s">
        <v>320</v>
      </c>
      <c r="O3346" s="6" t="s">
        <v>809</v>
      </c>
      <c r="P3346" s="6" t="s">
        <v>459</v>
      </c>
      <c r="Q3346" t="s">
        <v>245</v>
      </c>
    </row>
    <row r="3347" spans="1:18" x14ac:dyDescent="0.25">
      <c r="A3347" s="6" t="s">
        <v>459</v>
      </c>
      <c r="B3347" t="s">
        <v>115</v>
      </c>
      <c r="C3347" s="4">
        <f t="shared" ref="C3347:M3347" si="1762">0.8%/0.887</f>
        <v>9.0191657271702363E-3</v>
      </c>
      <c r="D3347" s="4">
        <f t="shared" si="1762"/>
        <v>9.0191657271702363E-3</v>
      </c>
      <c r="E3347" s="4">
        <f t="shared" si="1762"/>
        <v>9.0191657271702363E-3</v>
      </c>
      <c r="F3347" s="4">
        <f t="shared" si="1762"/>
        <v>9.0191657271702363E-3</v>
      </c>
      <c r="G3347" s="4">
        <f t="shared" si="1762"/>
        <v>9.0191657271702363E-3</v>
      </c>
      <c r="H3347" s="4">
        <f t="shared" si="1762"/>
        <v>9.0191657271702363E-3</v>
      </c>
      <c r="I3347" s="4">
        <f t="shared" si="1762"/>
        <v>9.0191657271702363E-3</v>
      </c>
      <c r="J3347" s="4">
        <f t="shared" si="1762"/>
        <v>9.0191657271702363E-3</v>
      </c>
      <c r="K3347" s="4">
        <f t="shared" si="1762"/>
        <v>9.0191657271702363E-3</v>
      </c>
      <c r="L3347" s="4">
        <f t="shared" si="1762"/>
        <v>9.0191657271702363E-3</v>
      </c>
      <c r="M3347" s="4">
        <f t="shared" si="1762"/>
        <v>9.0191657271702363E-3</v>
      </c>
      <c r="N3347" t="s">
        <v>320</v>
      </c>
      <c r="O3347" s="6" t="s">
        <v>809</v>
      </c>
      <c r="P3347" s="6" t="s">
        <v>459</v>
      </c>
      <c r="Q3347" t="s">
        <v>245</v>
      </c>
    </row>
    <row r="3348" spans="1:18" x14ac:dyDescent="0.25">
      <c r="A3348" s="6" t="s">
        <v>459</v>
      </c>
      <c r="B3348" t="s">
        <v>148</v>
      </c>
      <c r="C3348" s="4">
        <f t="shared" ref="C3348:M3348" si="1763">0.4%/0.887</f>
        <v>4.5095828635851182E-3</v>
      </c>
      <c r="D3348" s="4">
        <f t="shared" si="1763"/>
        <v>4.5095828635851182E-3</v>
      </c>
      <c r="E3348" s="4">
        <f t="shared" si="1763"/>
        <v>4.5095828635851182E-3</v>
      </c>
      <c r="F3348" s="4">
        <f t="shared" si="1763"/>
        <v>4.5095828635851182E-3</v>
      </c>
      <c r="G3348" s="4">
        <f t="shared" si="1763"/>
        <v>4.5095828635851182E-3</v>
      </c>
      <c r="H3348" s="4">
        <f t="shared" si="1763"/>
        <v>4.5095828635851182E-3</v>
      </c>
      <c r="I3348" s="4">
        <f t="shared" si="1763"/>
        <v>4.5095828635851182E-3</v>
      </c>
      <c r="J3348" s="4">
        <f t="shared" si="1763"/>
        <v>4.5095828635851182E-3</v>
      </c>
      <c r="K3348" s="4">
        <f t="shared" si="1763"/>
        <v>4.5095828635851182E-3</v>
      </c>
      <c r="L3348" s="4">
        <f t="shared" si="1763"/>
        <v>4.5095828635851182E-3</v>
      </c>
      <c r="M3348" s="4">
        <f t="shared" si="1763"/>
        <v>4.5095828635851182E-3</v>
      </c>
      <c r="N3348" t="s">
        <v>320</v>
      </c>
      <c r="O3348" s="6" t="s">
        <v>809</v>
      </c>
      <c r="P3348" s="6" t="s">
        <v>459</v>
      </c>
      <c r="Q3348" t="s">
        <v>245</v>
      </c>
    </row>
    <row r="3349" spans="1:18" x14ac:dyDescent="0.25">
      <c r="A3349" s="6" t="s">
        <v>459</v>
      </c>
      <c r="B3349" t="s">
        <v>208</v>
      </c>
      <c r="C3349" s="4">
        <f t="shared" ref="C3349:M3349" si="1764">0.3%/0.887</f>
        <v>3.3821871476888386E-3</v>
      </c>
      <c r="D3349" s="4">
        <f t="shared" si="1764"/>
        <v>3.3821871476888386E-3</v>
      </c>
      <c r="E3349" s="4">
        <f t="shared" si="1764"/>
        <v>3.3821871476888386E-3</v>
      </c>
      <c r="F3349" s="4">
        <f t="shared" si="1764"/>
        <v>3.3821871476888386E-3</v>
      </c>
      <c r="G3349" s="4">
        <f t="shared" si="1764"/>
        <v>3.3821871476888386E-3</v>
      </c>
      <c r="H3349" s="4">
        <f t="shared" si="1764"/>
        <v>3.3821871476888386E-3</v>
      </c>
      <c r="I3349" s="4">
        <f t="shared" si="1764"/>
        <v>3.3821871476888386E-3</v>
      </c>
      <c r="J3349" s="4">
        <f t="shared" si="1764"/>
        <v>3.3821871476888386E-3</v>
      </c>
      <c r="K3349" s="4">
        <f t="shared" si="1764"/>
        <v>3.3821871476888386E-3</v>
      </c>
      <c r="L3349" s="4">
        <f t="shared" si="1764"/>
        <v>3.3821871476888386E-3</v>
      </c>
      <c r="M3349" s="4">
        <f t="shared" si="1764"/>
        <v>3.3821871476888386E-3</v>
      </c>
      <c r="N3349" t="s">
        <v>320</v>
      </c>
      <c r="O3349" s="6" t="s">
        <v>809</v>
      </c>
      <c r="P3349" s="6" t="s">
        <v>459</v>
      </c>
      <c r="Q3349" t="s">
        <v>245</v>
      </c>
    </row>
    <row r="3350" spans="1:18" x14ac:dyDescent="0.25">
      <c r="A3350" t="s">
        <v>412</v>
      </c>
      <c r="B3350" t="s">
        <v>183</v>
      </c>
      <c r="C3350" s="4">
        <v>6.5215044461788111E-5</v>
      </c>
      <c r="D3350" s="4">
        <v>6.5215044461788111E-5</v>
      </c>
      <c r="E3350" s="4">
        <v>6.5215044461788111E-5</v>
      </c>
      <c r="F3350" s="4">
        <v>6.5215044461788111E-5</v>
      </c>
      <c r="G3350" s="4">
        <v>6.5215044461788111E-5</v>
      </c>
      <c r="H3350" s="4">
        <v>6.5215044461788111E-5</v>
      </c>
      <c r="I3350" s="4">
        <v>6.5215044461788111E-5</v>
      </c>
      <c r="J3350" s="4">
        <v>6.5215044461788111E-5</v>
      </c>
      <c r="K3350" s="4">
        <v>6.5215044461788111E-5</v>
      </c>
      <c r="L3350" s="4">
        <v>6.5215044461788111E-5</v>
      </c>
      <c r="M3350" s="4">
        <v>6.5215044461788111E-5</v>
      </c>
      <c r="N3350" t="s">
        <v>242</v>
      </c>
      <c r="O3350" t="s">
        <v>315</v>
      </c>
      <c r="P3350" t="s">
        <v>412</v>
      </c>
      <c r="Q3350" t="s">
        <v>245</v>
      </c>
      <c r="R3350" t="s">
        <v>413</v>
      </c>
    </row>
    <row r="3351" spans="1:18" x14ac:dyDescent="0.25">
      <c r="A3351" t="s">
        <v>412</v>
      </c>
      <c r="B3351" t="s">
        <v>124</v>
      </c>
      <c r="C3351" s="4">
        <v>1.2184874343890921E-3</v>
      </c>
      <c r="D3351" s="4">
        <v>1.2184874343890921E-3</v>
      </c>
      <c r="E3351" s="4">
        <v>1.2184874343890921E-3</v>
      </c>
      <c r="F3351" s="4">
        <v>1.2184874343890921E-3</v>
      </c>
      <c r="G3351" s="4">
        <v>1.2184874343890921E-3</v>
      </c>
      <c r="H3351" s="4">
        <v>1.2184874343890921E-3</v>
      </c>
      <c r="I3351" s="4">
        <v>1.2184874343890921E-3</v>
      </c>
      <c r="J3351" s="4">
        <v>1.2184874343890921E-3</v>
      </c>
      <c r="K3351" s="4">
        <v>1.2184874343890921E-3</v>
      </c>
      <c r="L3351" s="4">
        <v>1.2184874343890921E-3</v>
      </c>
      <c r="M3351" s="4">
        <v>1.2184874343890921E-3</v>
      </c>
      <c r="N3351" t="s">
        <v>242</v>
      </c>
      <c r="O3351" t="s">
        <v>315</v>
      </c>
      <c r="P3351" t="s">
        <v>412</v>
      </c>
      <c r="Q3351" t="s">
        <v>245</v>
      </c>
      <c r="R3351" t="s">
        <v>587</v>
      </c>
    </row>
    <row r="3352" spans="1:18" x14ac:dyDescent="0.25">
      <c r="A3352" t="s">
        <v>412</v>
      </c>
      <c r="B3352" t="s">
        <v>164</v>
      </c>
      <c r="C3352" s="4">
        <v>5.273670241781914E-4</v>
      </c>
      <c r="D3352" s="4">
        <v>5.273670241781914E-4</v>
      </c>
      <c r="E3352" s="4">
        <v>5.273670241781914E-4</v>
      </c>
      <c r="F3352" s="4">
        <v>5.273670241781914E-4</v>
      </c>
      <c r="G3352" s="4">
        <v>5.273670241781914E-4</v>
      </c>
      <c r="H3352" s="4">
        <v>5.273670241781914E-4</v>
      </c>
      <c r="I3352" s="4">
        <v>5.273670241781914E-4</v>
      </c>
      <c r="J3352" s="4">
        <v>5.273670241781914E-4</v>
      </c>
      <c r="K3352" s="4">
        <v>5.273670241781914E-4</v>
      </c>
      <c r="L3352" s="4">
        <v>5.273670241781914E-4</v>
      </c>
      <c r="M3352" s="4">
        <v>5.273670241781914E-4</v>
      </c>
      <c r="N3352" t="s">
        <v>242</v>
      </c>
      <c r="O3352" t="s">
        <v>315</v>
      </c>
      <c r="P3352" t="s">
        <v>412</v>
      </c>
      <c r="Q3352" t="s">
        <v>245</v>
      </c>
    </row>
    <row r="3353" spans="1:18" x14ac:dyDescent="0.25">
      <c r="A3353" t="s">
        <v>412</v>
      </c>
      <c r="B3353" t="s">
        <v>83</v>
      </c>
      <c r="C3353" s="4">
        <v>9.4901187198528539E-2</v>
      </c>
      <c r="D3353" s="4">
        <v>9.4901187198528539E-2</v>
      </c>
      <c r="E3353" s="4">
        <v>9.4901187198528539E-2</v>
      </c>
      <c r="F3353" s="4">
        <v>9.4901187198528539E-2</v>
      </c>
      <c r="G3353" s="4">
        <v>9.4901187198528539E-2</v>
      </c>
      <c r="H3353" s="4">
        <v>9.4901187198528539E-2</v>
      </c>
      <c r="I3353" s="4">
        <v>9.4901187198528539E-2</v>
      </c>
      <c r="J3353" s="4">
        <v>9.4901187198528539E-2</v>
      </c>
      <c r="K3353" s="4">
        <v>9.4901187198528539E-2</v>
      </c>
      <c r="L3353" s="4">
        <v>9.4901187198528539E-2</v>
      </c>
      <c r="M3353" s="4">
        <v>9.4901187198528539E-2</v>
      </c>
      <c r="N3353" t="s">
        <v>242</v>
      </c>
      <c r="O3353" t="s">
        <v>315</v>
      </c>
      <c r="P3353" t="s">
        <v>412</v>
      </c>
      <c r="Q3353" t="s">
        <v>245</v>
      </c>
    </row>
    <row r="3354" spans="1:18" x14ac:dyDescent="0.25">
      <c r="A3354" t="s">
        <v>412</v>
      </c>
      <c r="B3354" t="s">
        <v>144</v>
      </c>
      <c r="C3354" s="4">
        <v>3.8684053294434202E-2</v>
      </c>
      <c r="D3354" s="4">
        <v>3.8684053294434202E-2</v>
      </c>
      <c r="E3354" s="4">
        <v>3.8684053294434202E-2</v>
      </c>
      <c r="F3354" s="4">
        <v>3.8684053294434202E-2</v>
      </c>
      <c r="G3354" s="4">
        <v>3.8684053294434202E-2</v>
      </c>
      <c r="H3354" s="4">
        <v>3.8684053294434202E-2</v>
      </c>
      <c r="I3354" s="4">
        <v>3.8684053294434202E-2</v>
      </c>
      <c r="J3354" s="4">
        <v>3.8684053294434202E-2</v>
      </c>
      <c r="K3354" s="4">
        <v>3.8684053294434202E-2</v>
      </c>
      <c r="L3354" s="4">
        <v>3.8684053294434202E-2</v>
      </c>
      <c r="M3354" s="4">
        <v>3.8684053294434202E-2</v>
      </c>
      <c r="N3354" t="s">
        <v>242</v>
      </c>
      <c r="O3354" t="s">
        <v>315</v>
      </c>
      <c r="P3354" t="s">
        <v>412</v>
      </c>
      <c r="Q3354" t="s">
        <v>245</v>
      </c>
    </row>
    <row r="3355" spans="1:18" x14ac:dyDescent="0.25">
      <c r="A3355" t="s">
        <v>412</v>
      </c>
      <c r="B3355" t="s">
        <v>84</v>
      </c>
      <c r="C3355" s="4">
        <v>5.9546107426134136E-4</v>
      </c>
      <c r="D3355" s="4">
        <v>5.9546107426134136E-4</v>
      </c>
      <c r="E3355" s="4">
        <v>5.9546107426134136E-4</v>
      </c>
      <c r="F3355" s="4">
        <v>5.9546107426134136E-4</v>
      </c>
      <c r="G3355" s="4">
        <v>5.9546107426134136E-4</v>
      </c>
      <c r="H3355" s="4">
        <v>5.9546107426134136E-4</v>
      </c>
      <c r="I3355" s="4">
        <v>5.9546107426134136E-4</v>
      </c>
      <c r="J3355" s="4">
        <v>5.9546107426134136E-4</v>
      </c>
      <c r="K3355" s="4">
        <v>5.9546107426134136E-4</v>
      </c>
      <c r="L3355" s="4">
        <v>5.9546107426134136E-4</v>
      </c>
      <c r="M3355" s="4">
        <v>5.9546107426134136E-4</v>
      </c>
      <c r="N3355" t="s">
        <v>242</v>
      </c>
      <c r="O3355" t="s">
        <v>315</v>
      </c>
      <c r="P3355" t="s">
        <v>412</v>
      </c>
      <c r="Q3355" t="s">
        <v>245</v>
      </c>
    </row>
    <row r="3356" spans="1:18" x14ac:dyDescent="0.25">
      <c r="A3356" t="s">
        <v>412</v>
      </c>
      <c r="B3356" t="s">
        <v>85</v>
      </c>
      <c r="C3356" s="4">
        <v>1.3108223936819411E-2</v>
      </c>
      <c r="D3356" s="4">
        <v>1.3108223936819411E-2</v>
      </c>
      <c r="E3356" s="4">
        <v>1.3108223936819411E-2</v>
      </c>
      <c r="F3356" s="4">
        <v>1.3108223936819411E-2</v>
      </c>
      <c r="G3356" s="4">
        <v>1.3108223936819411E-2</v>
      </c>
      <c r="H3356" s="4">
        <v>1.3108223936819411E-2</v>
      </c>
      <c r="I3356" s="4">
        <v>1.3108223936819411E-2</v>
      </c>
      <c r="J3356" s="4">
        <v>1.3108223936819411E-2</v>
      </c>
      <c r="K3356" s="4">
        <v>1.3108223936819411E-2</v>
      </c>
      <c r="L3356" s="4">
        <v>1.3108223936819411E-2</v>
      </c>
      <c r="M3356" s="4">
        <v>1.3108223936819411E-2</v>
      </c>
      <c r="N3356" t="s">
        <v>242</v>
      </c>
      <c r="O3356" t="s">
        <v>315</v>
      </c>
      <c r="P3356" t="s">
        <v>412</v>
      </c>
      <c r="Q3356" t="s">
        <v>245</v>
      </c>
    </row>
    <row r="3357" spans="1:18" x14ac:dyDescent="0.25">
      <c r="A3357" t="s">
        <v>412</v>
      </c>
      <c r="B3357" t="s">
        <v>147</v>
      </c>
      <c r="C3357" s="4">
        <v>1.1631023649217879E-3</v>
      </c>
      <c r="D3357" s="4">
        <v>1.1631023649217879E-3</v>
      </c>
      <c r="E3357" s="4">
        <v>1.1631023649217879E-3</v>
      </c>
      <c r="F3357" s="4">
        <v>1.1631023649217879E-3</v>
      </c>
      <c r="G3357" s="4">
        <v>1.1631023649217879E-3</v>
      </c>
      <c r="H3357" s="4">
        <v>1.1631023649217879E-3</v>
      </c>
      <c r="I3357" s="4">
        <v>1.1631023649217879E-3</v>
      </c>
      <c r="J3357" s="4">
        <v>1.1631023649217879E-3</v>
      </c>
      <c r="K3357" s="4">
        <v>1.1631023649217879E-3</v>
      </c>
      <c r="L3357" s="4">
        <v>1.1631023649217879E-3</v>
      </c>
      <c r="M3357" s="4">
        <v>1.1631023649217879E-3</v>
      </c>
      <c r="N3357" t="s">
        <v>242</v>
      </c>
      <c r="O3357" t="s">
        <v>315</v>
      </c>
      <c r="P3357" t="s">
        <v>412</v>
      </c>
      <c r="Q3357" t="s">
        <v>245</v>
      </c>
    </row>
    <row r="3358" spans="1:18" x14ac:dyDescent="0.25">
      <c r="A3358" t="s">
        <v>412</v>
      </c>
      <c r="B3358" t="s">
        <v>186</v>
      </c>
      <c r="C3358" s="4">
        <v>6.9245970453862826E-3</v>
      </c>
      <c r="D3358" s="4">
        <v>6.9245970453862826E-3</v>
      </c>
      <c r="E3358" s="4">
        <v>6.9245970453862826E-3</v>
      </c>
      <c r="F3358" s="4">
        <v>6.9245970453862826E-3</v>
      </c>
      <c r="G3358" s="4">
        <v>6.9245970453862826E-3</v>
      </c>
      <c r="H3358" s="4">
        <v>6.9245970453862826E-3</v>
      </c>
      <c r="I3358" s="4">
        <v>6.9245970453862826E-3</v>
      </c>
      <c r="J3358" s="4">
        <v>6.9245970453862826E-3</v>
      </c>
      <c r="K3358" s="4">
        <v>6.9245970453862826E-3</v>
      </c>
      <c r="L3358" s="4">
        <v>6.9245970453862826E-3</v>
      </c>
      <c r="M3358" s="4">
        <v>6.9245970453862826E-3</v>
      </c>
      <c r="N3358" t="s">
        <v>242</v>
      </c>
      <c r="O3358" t="s">
        <v>315</v>
      </c>
      <c r="P3358" t="s">
        <v>412</v>
      </c>
      <c r="Q3358" t="s">
        <v>245</v>
      </c>
    </row>
    <row r="3359" spans="1:18" x14ac:dyDescent="0.25">
      <c r="A3359" t="s">
        <v>412</v>
      </c>
      <c r="B3359" t="s">
        <v>116</v>
      </c>
      <c r="C3359" s="4">
        <v>2.6347005211429641E-2</v>
      </c>
      <c r="D3359" s="4">
        <v>2.6347005211429641E-2</v>
      </c>
      <c r="E3359" s="4">
        <v>2.6347005211429641E-2</v>
      </c>
      <c r="F3359" s="4">
        <v>2.6347005211429641E-2</v>
      </c>
      <c r="G3359" s="4">
        <v>2.6347005211429641E-2</v>
      </c>
      <c r="H3359" s="4">
        <v>2.6347005211429641E-2</v>
      </c>
      <c r="I3359" s="4">
        <v>2.6347005211429641E-2</v>
      </c>
      <c r="J3359" s="4">
        <v>2.6347005211429641E-2</v>
      </c>
      <c r="K3359" s="4">
        <v>2.6347005211429641E-2</v>
      </c>
      <c r="L3359" s="4">
        <v>2.6347005211429641E-2</v>
      </c>
      <c r="M3359" s="4">
        <v>2.6347005211429641E-2</v>
      </c>
      <c r="N3359" t="s">
        <v>288</v>
      </c>
      <c r="O3359" t="s">
        <v>309</v>
      </c>
      <c r="P3359" t="s">
        <v>412</v>
      </c>
      <c r="Q3359" t="s">
        <v>245</v>
      </c>
    </row>
    <row r="3360" spans="1:18" x14ac:dyDescent="0.25">
      <c r="A3360" t="s">
        <v>412</v>
      </c>
      <c r="B3360" t="s">
        <v>145</v>
      </c>
      <c r="C3360" s="4">
        <v>1.877159383453152E-3</v>
      </c>
      <c r="D3360" s="4">
        <v>1.877159383453152E-3</v>
      </c>
      <c r="E3360" s="4">
        <v>1.877159383453152E-3</v>
      </c>
      <c r="F3360" s="4">
        <v>1.877159383453152E-3</v>
      </c>
      <c r="G3360" s="4">
        <v>1.877159383453152E-3</v>
      </c>
      <c r="H3360" s="4">
        <v>1.877159383453152E-3</v>
      </c>
      <c r="I3360" s="4">
        <v>1.877159383453152E-3</v>
      </c>
      <c r="J3360" s="4">
        <v>1.877159383453152E-3</v>
      </c>
      <c r="K3360" s="4">
        <v>1.877159383453152E-3</v>
      </c>
      <c r="L3360" s="4">
        <v>1.877159383453152E-3</v>
      </c>
      <c r="M3360" s="4">
        <v>1.877159383453152E-3</v>
      </c>
      <c r="N3360" t="s">
        <v>242</v>
      </c>
      <c r="O3360" t="s">
        <v>315</v>
      </c>
      <c r="P3360" t="s">
        <v>412</v>
      </c>
      <c r="Q3360" t="s">
        <v>245</v>
      </c>
    </row>
    <row r="3361" spans="1:17" x14ac:dyDescent="0.25">
      <c r="A3361" t="s">
        <v>412</v>
      </c>
      <c r="B3361" t="s">
        <v>86</v>
      </c>
      <c r="C3361" s="4">
        <v>0.31924195813801759</v>
      </c>
      <c r="D3361" s="4">
        <v>0.31924195813801759</v>
      </c>
      <c r="E3361" s="4">
        <v>0.31924195813801759</v>
      </c>
      <c r="F3361" s="4">
        <v>0.31924195813801759</v>
      </c>
      <c r="G3361" s="4">
        <v>0.31924195813801759</v>
      </c>
      <c r="H3361" s="4">
        <v>0.31924195813801759</v>
      </c>
      <c r="I3361" s="4">
        <v>0.31924195813801759</v>
      </c>
      <c r="J3361" s="4">
        <v>0.31924195813801759</v>
      </c>
      <c r="K3361" s="4">
        <v>0.31924195813801759</v>
      </c>
      <c r="L3361" s="4">
        <v>0.31924195813801759</v>
      </c>
      <c r="M3361" s="4">
        <v>0.31924195813801759</v>
      </c>
      <c r="N3361" t="s">
        <v>242</v>
      </c>
      <c r="O3361" t="s">
        <v>315</v>
      </c>
      <c r="P3361" t="s">
        <v>412</v>
      </c>
      <c r="Q3361" t="s">
        <v>245</v>
      </c>
    </row>
    <row r="3362" spans="1:17" x14ac:dyDescent="0.25">
      <c r="A3362" t="s">
        <v>412</v>
      </c>
      <c r="B3362" t="s">
        <v>189</v>
      </c>
      <c r="C3362" s="4">
        <v>2.115512417906785E-4</v>
      </c>
      <c r="D3362" s="4">
        <v>2.115512417906785E-4</v>
      </c>
      <c r="E3362" s="4">
        <v>2.115512417906785E-4</v>
      </c>
      <c r="F3362" s="4">
        <v>2.115512417906785E-4</v>
      </c>
      <c r="G3362" s="4">
        <v>2.115512417906785E-4</v>
      </c>
      <c r="H3362" s="4">
        <v>2.115512417906785E-4</v>
      </c>
      <c r="I3362" s="4">
        <v>2.115512417906785E-4</v>
      </c>
      <c r="J3362" s="4">
        <v>2.115512417906785E-4</v>
      </c>
      <c r="K3362" s="4">
        <v>2.115512417906785E-4</v>
      </c>
      <c r="L3362" s="4">
        <v>2.115512417906785E-4</v>
      </c>
      <c r="M3362" s="4">
        <v>2.115512417906785E-4</v>
      </c>
      <c r="N3362" t="s">
        <v>242</v>
      </c>
      <c r="O3362" t="s">
        <v>315</v>
      </c>
      <c r="P3362" t="s">
        <v>412</v>
      </c>
      <c r="Q3362" t="s">
        <v>245</v>
      </c>
    </row>
    <row r="3363" spans="1:17" x14ac:dyDescent="0.25">
      <c r="A3363" t="s">
        <v>412</v>
      </c>
      <c r="B3363" t="s">
        <v>159</v>
      </c>
      <c r="C3363" s="4">
        <v>8.1159327527275044E-4</v>
      </c>
      <c r="D3363" s="4">
        <v>8.1159327527275044E-4</v>
      </c>
      <c r="E3363" s="4">
        <v>8.1159327527275044E-4</v>
      </c>
      <c r="F3363" s="4">
        <v>8.1159327527275044E-4</v>
      </c>
      <c r="G3363" s="4">
        <v>8.1159327527275044E-4</v>
      </c>
      <c r="H3363" s="4">
        <v>8.1159327527275044E-4</v>
      </c>
      <c r="I3363" s="4">
        <v>8.1159327527275044E-4</v>
      </c>
      <c r="J3363" s="4">
        <v>8.1159327527275044E-4</v>
      </c>
      <c r="K3363" s="4">
        <v>8.1159327527275044E-4</v>
      </c>
      <c r="L3363" s="4">
        <v>8.1159327527275044E-4</v>
      </c>
      <c r="M3363" s="4">
        <v>8.1159327527275044E-4</v>
      </c>
      <c r="N3363" t="s">
        <v>242</v>
      </c>
      <c r="O3363" t="s">
        <v>315</v>
      </c>
      <c r="P3363" t="s">
        <v>412</v>
      </c>
      <c r="Q3363" t="s">
        <v>245</v>
      </c>
    </row>
    <row r="3364" spans="1:17" x14ac:dyDescent="0.25">
      <c r="A3364" t="s">
        <v>412</v>
      </c>
      <c r="B3364" t="s">
        <v>160</v>
      </c>
      <c r="C3364" s="4">
        <v>3.2671146664515309E-3</v>
      </c>
      <c r="D3364" s="4">
        <v>3.2671146664515309E-3</v>
      </c>
      <c r="E3364" s="4">
        <v>3.2671146664515309E-3</v>
      </c>
      <c r="F3364" s="4">
        <v>3.2671146664515309E-3</v>
      </c>
      <c r="G3364" s="4">
        <v>3.2671146664515309E-3</v>
      </c>
      <c r="H3364" s="4">
        <v>3.2671146664515309E-3</v>
      </c>
      <c r="I3364" s="4">
        <v>3.2671146664515309E-3</v>
      </c>
      <c r="J3364" s="4">
        <v>3.2671146664515309E-3</v>
      </c>
      <c r="K3364" s="4">
        <v>3.2671146664515309E-3</v>
      </c>
      <c r="L3364" s="4">
        <v>3.2671146664515309E-3</v>
      </c>
      <c r="M3364" s="4">
        <v>3.2671146664515309E-3</v>
      </c>
      <c r="N3364" t="s">
        <v>242</v>
      </c>
      <c r="O3364" t="s">
        <v>315</v>
      </c>
      <c r="P3364" t="s">
        <v>412</v>
      </c>
      <c r="Q3364" t="s">
        <v>245</v>
      </c>
    </row>
    <row r="3365" spans="1:17" x14ac:dyDescent="0.25">
      <c r="A3365" t="s">
        <v>412</v>
      </c>
      <c r="B3365" t="s">
        <v>89</v>
      </c>
      <c r="C3365" s="4">
        <v>3.2992450054302662E-4</v>
      </c>
      <c r="D3365" s="4">
        <v>3.2992450054302662E-4</v>
      </c>
      <c r="E3365" s="4">
        <v>3.2992450054302662E-4</v>
      </c>
      <c r="F3365" s="4">
        <v>3.2992450054302662E-4</v>
      </c>
      <c r="G3365" s="4">
        <v>3.2992450054302662E-4</v>
      </c>
      <c r="H3365" s="4">
        <v>3.2992450054302662E-4</v>
      </c>
      <c r="I3365" s="4">
        <v>3.2992450054302662E-4</v>
      </c>
      <c r="J3365" s="4">
        <v>3.2992450054302662E-4</v>
      </c>
      <c r="K3365" s="4">
        <v>3.2992450054302662E-4</v>
      </c>
      <c r="L3365" s="4">
        <v>3.2992450054302662E-4</v>
      </c>
      <c r="M3365" s="4">
        <v>3.2992450054302662E-4</v>
      </c>
      <c r="N3365" t="s">
        <v>242</v>
      </c>
      <c r="O3365" t="s">
        <v>315</v>
      </c>
      <c r="P3365" t="s">
        <v>412</v>
      </c>
      <c r="Q3365" t="s">
        <v>245</v>
      </c>
    </row>
    <row r="3366" spans="1:17" x14ac:dyDescent="0.25">
      <c r="A3366" t="s">
        <v>412</v>
      </c>
      <c r="B3366" t="s">
        <v>168</v>
      </c>
      <c r="C3366" s="4">
        <v>9.4359965953929332E-3</v>
      </c>
      <c r="D3366" s="4">
        <v>9.4359965953929332E-3</v>
      </c>
      <c r="E3366" s="4">
        <v>9.4359965953929332E-3</v>
      </c>
      <c r="F3366" s="4">
        <v>9.4359965953929332E-3</v>
      </c>
      <c r="G3366" s="4">
        <v>9.4359965953929332E-3</v>
      </c>
      <c r="H3366" s="4">
        <v>9.4359965953929332E-3</v>
      </c>
      <c r="I3366" s="4">
        <v>9.4359965953929332E-3</v>
      </c>
      <c r="J3366" s="4">
        <v>9.4359965953929332E-3</v>
      </c>
      <c r="K3366" s="4">
        <v>9.4359965953929332E-3</v>
      </c>
      <c r="L3366" s="4">
        <v>9.4359965953929332E-3</v>
      </c>
      <c r="M3366" s="4">
        <v>9.4359965953929332E-3</v>
      </c>
      <c r="N3366" t="s">
        <v>242</v>
      </c>
      <c r="O3366" t="s">
        <v>315</v>
      </c>
      <c r="P3366" t="s">
        <v>412</v>
      </c>
      <c r="Q3366" t="s">
        <v>245</v>
      </c>
    </row>
    <row r="3367" spans="1:17" x14ac:dyDescent="0.25">
      <c r="A3367" t="s">
        <v>412</v>
      </c>
      <c r="B3367" t="s">
        <v>154</v>
      </c>
      <c r="C3367" s="4">
        <v>5.2822118219955682E-3</v>
      </c>
      <c r="D3367" s="4">
        <v>5.2822118219955682E-3</v>
      </c>
      <c r="E3367" s="4">
        <v>5.2822118219955682E-3</v>
      </c>
      <c r="F3367" s="4">
        <v>5.2822118219955682E-3</v>
      </c>
      <c r="G3367" s="4">
        <v>5.2822118219955682E-3</v>
      </c>
      <c r="H3367" s="4">
        <v>5.2822118219955682E-3</v>
      </c>
      <c r="I3367" s="4">
        <v>5.2822118219955682E-3</v>
      </c>
      <c r="J3367" s="4">
        <v>5.2822118219955682E-3</v>
      </c>
      <c r="K3367" s="4">
        <v>5.2822118219955682E-3</v>
      </c>
      <c r="L3367" s="4">
        <v>5.2822118219955682E-3</v>
      </c>
      <c r="M3367" s="4">
        <v>5.2822118219955682E-3</v>
      </c>
      <c r="N3367" t="s">
        <v>242</v>
      </c>
      <c r="O3367" t="s">
        <v>315</v>
      </c>
      <c r="P3367" t="s">
        <v>412</v>
      </c>
      <c r="Q3367" t="s">
        <v>245</v>
      </c>
    </row>
    <row r="3368" spans="1:17" x14ac:dyDescent="0.25">
      <c r="A3368" t="s">
        <v>412</v>
      </c>
      <c r="B3368" t="s">
        <v>169</v>
      </c>
      <c r="C3368" s="4">
        <v>6.8428078359661576E-5</v>
      </c>
      <c r="D3368" s="4">
        <v>6.8428078359661576E-5</v>
      </c>
      <c r="E3368" s="4">
        <v>6.8428078359661576E-5</v>
      </c>
      <c r="F3368" s="4">
        <v>6.8428078359661576E-5</v>
      </c>
      <c r="G3368" s="4">
        <v>6.8428078359661576E-5</v>
      </c>
      <c r="H3368" s="4">
        <v>6.8428078359661576E-5</v>
      </c>
      <c r="I3368" s="4">
        <v>6.8428078359661576E-5</v>
      </c>
      <c r="J3368" s="4">
        <v>6.8428078359661576E-5</v>
      </c>
      <c r="K3368" s="4">
        <v>6.8428078359661576E-5</v>
      </c>
      <c r="L3368" s="4">
        <v>6.8428078359661576E-5</v>
      </c>
      <c r="M3368" s="4">
        <v>6.8428078359661576E-5</v>
      </c>
      <c r="N3368" t="s">
        <v>242</v>
      </c>
      <c r="O3368" t="s">
        <v>315</v>
      </c>
      <c r="P3368" t="s">
        <v>412</v>
      </c>
      <c r="Q3368" t="s">
        <v>245</v>
      </c>
    </row>
    <row r="3369" spans="1:17" x14ac:dyDescent="0.25">
      <c r="A3369" t="s">
        <v>412</v>
      </c>
      <c r="B3369" t="s">
        <v>93</v>
      </c>
      <c r="C3369" s="4">
        <v>1.7765373416811349E-3</v>
      </c>
      <c r="D3369" s="4">
        <v>1.7765373416811349E-3</v>
      </c>
      <c r="E3369" s="4">
        <v>1.7765373416811349E-3</v>
      </c>
      <c r="F3369" s="4">
        <v>1.7765373416811349E-3</v>
      </c>
      <c r="G3369" s="4">
        <v>1.7765373416811349E-3</v>
      </c>
      <c r="H3369" s="4">
        <v>1.7765373416811349E-3</v>
      </c>
      <c r="I3369" s="4">
        <v>1.7765373416811349E-3</v>
      </c>
      <c r="J3369" s="4">
        <v>1.7765373416811349E-3</v>
      </c>
      <c r="K3369" s="4">
        <v>1.7765373416811349E-3</v>
      </c>
      <c r="L3369" s="4">
        <v>1.7765373416811349E-3</v>
      </c>
      <c r="M3369" s="4">
        <v>1.7765373416811349E-3</v>
      </c>
      <c r="N3369" t="s">
        <v>242</v>
      </c>
      <c r="O3369" t="s">
        <v>315</v>
      </c>
      <c r="P3369" t="s">
        <v>412</v>
      </c>
      <c r="Q3369" t="s">
        <v>245</v>
      </c>
    </row>
    <row r="3370" spans="1:17" x14ac:dyDescent="0.25">
      <c r="A3370" t="s">
        <v>412</v>
      </c>
      <c r="B3370" t="s">
        <v>196</v>
      </c>
      <c r="C3370" s="4">
        <v>9.7027261272416453E-5</v>
      </c>
      <c r="D3370" s="4">
        <v>9.7027261272416453E-5</v>
      </c>
      <c r="E3370" s="4">
        <v>9.7027261272416453E-5</v>
      </c>
      <c r="F3370" s="4">
        <v>9.7027261272416453E-5</v>
      </c>
      <c r="G3370" s="4">
        <v>9.7027261272416453E-5</v>
      </c>
      <c r="H3370" s="4">
        <v>9.7027261272416453E-5</v>
      </c>
      <c r="I3370" s="4">
        <v>9.7027261272416453E-5</v>
      </c>
      <c r="J3370" s="4">
        <v>9.7027261272416453E-5</v>
      </c>
      <c r="K3370" s="4">
        <v>9.7027261272416453E-5</v>
      </c>
      <c r="L3370" s="4">
        <v>9.7027261272416453E-5</v>
      </c>
      <c r="M3370" s="4">
        <v>9.7027261272416453E-5</v>
      </c>
      <c r="N3370" t="s">
        <v>242</v>
      </c>
      <c r="O3370" t="s">
        <v>315</v>
      </c>
      <c r="P3370" t="s">
        <v>412</v>
      </c>
      <c r="Q3370" t="s">
        <v>245</v>
      </c>
    </row>
    <row r="3371" spans="1:17" x14ac:dyDescent="0.25">
      <c r="A3371" t="s">
        <v>412</v>
      </c>
      <c r="B3371" t="s">
        <v>197</v>
      </c>
      <c r="C3371" s="4">
        <v>2.1804093402004671E-3</v>
      </c>
      <c r="D3371" s="4">
        <v>2.1804093402004671E-3</v>
      </c>
      <c r="E3371" s="4">
        <v>2.1804093402004671E-3</v>
      </c>
      <c r="F3371" s="4">
        <v>2.1804093402004671E-3</v>
      </c>
      <c r="G3371" s="4">
        <v>2.1804093402004671E-3</v>
      </c>
      <c r="H3371" s="4">
        <v>2.1804093402004671E-3</v>
      </c>
      <c r="I3371" s="4">
        <v>2.1804093402004671E-3</v>
      </c>
      <c r="J3371" s="4">
        <v>2.1804093402004671E-3</v>
      </c>
      <c r="K3371" s="4">
        <v>2.1804093402004671E-3</v>
      </c>
      <c r="L3371" s="4">
        <v>2.1804093402004671E-3</v>
      </c>
      <c r="M3371" s="4">
        <v>2.1804093402004671E-3</v>
      </c>
      <c r="N3371" t="s">
        <v>242</v>
      </c>
      <c r="O3371" t="s">
        <v>315</v>
      </c>
      <c r="P3371" t="s">
        <v>412</v>
      </c>
      <c r="Q3371" t="s">
        <v>245</v>
      </c>
    </row>
    <row r="3372" spans="1:17" x14ac:dyDescent="0.25">
      <c r="A3372" t="s">
        <v>412</v>
      </c>
      <c r="B3372" t="s">
        <v>97</v>
      </c>
      <c r="C3372" s="4">
        <v>5.9113652150810457E-2</v>
      </c>
      <c r="D3372" s="4">
        <v>5.9113652150810457E-2</v>
      </c>
      <c r="E3372" s="4">
        <v>5.9113652150810457E-2</v>
      </c>
      <c r="F3372" s="4">
        <v>5.9113652150810457E-2</v>
      </c>
      <c r="G3372" s="4">
        <v>5.9113652150810457E-2</v>
      </c>
      <c r="H3372" s="4">
        <v>5.9113652150810457E-2</v>
      </c>
      <c r="I3372" s="4">
        <v>5.9113652150810457E-2</v>
      </c>
      <c r="J3372" s="4">
        <v>5.9113652150810457E-2</v>
      </c>
      <c r="K3372" s="4">
        <v>5.9113652150810457E-2</v>
      </c>
      <c r="L3372" s="4">
        <v>5.9113652150810457E-2</v>
      </c>
      <c r="M3372" s="4">
        <v>5.9113652150810457E-2</v>
      </c>
      <c r="N3372" t="s">
        <v>242</v>
      </c>
      <c r="O3372" t="s">
        <v>315</v>
      </c>
      <c r="P3372" t="s">
        <v>412</v>
      </c>
      <c r="Q3372" t="s">
        <v>245</v>
      </c>
    </row>
    <row r="3373" spans="1:17" x14ac:dyDescent="0.25">
      <c r="A3373" t="s">
        <v>412</v>
      </c>
      <c r="B3373" t="s">
        <v>98</v>
      </c>
      <c r="C3373" s="4">
        <v>1.4756255828694009E-3</v>
      </c>
      <c r="D3373" s="4">
        <v>1.4756255828694009E-3</v>
      </c>
      <c r="E3373" s="4">
        <v>1.4756255828694009E-3</v>
      </c>
      <c r="F3373" s="4">
        <v>1.4756255828694009E-3</v>
      </c>
      <c r="G3373" s="4">
        <v>1.4756255828694009E-3</v>
      </c>
      <c r="H3373" s="4">
        <v>1.4756255828694009E-3</v>
      </c>
      <c r="I3373" s="4">
        <v>1.4756255828694009E-3</v>
      </c>
      <c r="J3373" s="4">
        <v>1.4756255828694009E-3</v>
      </c>
      <c r="K3373" s="4">
        <v>1.4756255828694009E-3</v>
      </c>
      <c r="L3373" s="4">
        <v>1.4756255828694009E-3</v>
      </c>
      <c r="M3373" s="4">
        <v>1.4756255828694009E-3</v>
      </c>
      <c r="N3373" t="s">
        <v>242</v>
      </c>
      <c r="O3373" t="s">
        <v>315</v>
      </c>
      <c r="P3373" t="s">
        <v>412</v>
      </c>
      <c r="Q3373" t="s">
        <v>245</v>
      </c>
    </row>
    <row r="3374" spans="1:17" x14ac:dyDescent="0.25">
      <c r="A3374" t="s">
        <v>412</v>
      </c>
      <c r="B3374" t="s">
        <v>99</v>
      </c>
      <c r="C3374" s="4">
        <v>1.1690989677905919E-2</v>
      </c>
      <c r="D3374" s="4">
        <v>1.1690989677905919E-2</v>
      </c>
      <c r="E3374" s="4">
        <v>1.1690989677905919E-2</v>
      </c>
      <c r="F3374" s="4">
        <v>1.1690989677905919E-2</v>
      </c>
      <c r="G3374" s="4">
        <v>1.1690989677905919E-2</v>
      </c>
      <c r="H3374" s="4">
        <v>1.1690989677905919E-2</v>
      </c>
      <c r="I3374" s="4">
        <v>1.1690989677905919E-2</v>
      </c>
      <c r="J3374" s="4">
        <v>1.1690989677905919E-2</v>
      </c>
      <c r="K3374" s="4">
        <v>1.1690989677905919E-2</v>
      </c>
      <c r="L3374" s="4">
        <v>1.1690989677905919E-2</v>
      </c>
      <c r="M3374" s="4">
        <v>1.1690989677905919E-2</v>
      </c>
      <c r="N3374" t="s">
        <v>242</v>
      </c>
      <c r="O3374" t="s">
        <v>315</v>
      </c>
      <c r="P3374" t="s">
        <v>412</v>
      </c>
      <c r="Q3374" t="s">
        <v>245</v>
      </c>
    </row>
    <row r="3375" spans="1:17" x14ac:dyDescent="0.25">
      <c r="A3375" t="s">
        <v>412</v>
      </c>
      <c r="B3375" t="s">
        <v>118</v>
      </c>
      <c r="C3375" s="4">
        <v>9.9266682274800639E-3</v>
      </c>
      <c r="D3375" s="4">
        <v>9.9266682274800639E-3</v>
      </c>
      <c r="E3375" s="4">
        <v>9.9266682274800639E-3</v>
      </c>
      <c r="F3375" s="4">
        <v>9.9266682274800639E-3</v>
      </c>
      <c r="G3375" s="4">
        <v>9.9266682274800639E-3</v>
      </c>
      <c r="H3375" s="4">
        <v>9.9266682274800639E-3</v>
      </c>
      <c r="I3375" s="4">
        <v>9.9266682274800639E-3</v>
      </c>
      <c r="J3375" s="4">
        <v>9.9266682274800639E-3</v>
      </c>
      <c r="K3375" s="4">
        <v>9.9266682274800639E-3</v>
      </c>
      <c r="L3375" s="4">
        <v>9.9266682274800639E-3</v>
      </c>
      <c r="M3375" s="4">
        <v>9.9266682274800639E-3</v>
      </c>
      <c r="N3375" t="s">
        <v>242</v>
      </c>
      <c r="O3375" t="s">
        <v>315</v>
      </c>
      <c r="P3375" t="s">
        <v>412</v>
      </c>
      <c r="Q3375" t="s">
        <v>245</v>
      </c>
    </row>
    <row r="3376" spans="1:17" x14ac:dyDescent="0.25">
      <c r="A3376" t="s">
        <v>412</v>
      </c>
      <c r="B3376" t="s">
        <v>102</v>
      </c>
      <c r="C3376" s="4">
        <v>2.6645912800582299E-2</v>
      </c>
      <c r="D3376" s="4">
        <v>2.6645912800582299E-2</v>
      </c>
      <c r="E3376" s="4">
        <v>2.6645912800582299E-2</v>
      </c>
      <c r="F3376" s="4">
        <v>2.6645912800582299E-2</v>
      </c>
      <c r="G3376" s="4">
        <v>2.6645912800582299E-2</v>
      </c>
      <c r="H3376" s="4">
        <v>2.6645912800582299E-2</v>
      </c>
      <c r="I3376" s="4">
        <v>2.6645912800582299E-2</v>
      </c>
      <c r="J3376" s="4">
        <v>2.6645912800582299E-2</v>
      </c>
      <c r="K3376" s="4">
        <v>2.6645912800582299E-2</v>
      </c>
      <c r="L3376" s="4">
        <v>2.6645912800582299E-2</v>
      </c>
      <c r="M3376" s="4">
        <v>2.6645912800582299E-2</v>
      </c>
      <c r="N3376" t="s">
        <v>242</v>
      </c>
      <c r="O3376" t="s">
        <v>315</v>
      </c>
      <c r="P3376" t="s">
        <v>412</v>
      </c>
      <c r="Q3376" t="s">
        <v>245</v>
      </c>
    </row>
    <row r="3377" spans="1:17" x14ac:dyDescent="0.25">
      <c r="A3377" t="s">
        <v>412</v>
      </c>
      <c r="B3377" t="s">
        <v>148</v>
      </c>
      <c r="C3377" s="4">
        <v>3.134457722351211E-4</v>
      </c>
      <c r="D3377" s="4">
        <v>3.134457722351211E-4</v>
      </c>
      <c r="E3377" s="4">
        <v>3.134457722351211E-4</v>
      </c>
      <c r="F3377" s="4">
        <v>3.134457722351211E-4</v>
      </c>
      <c r="G3377" s="4">
        <v>3.134457722351211E-4</v>
      </c>
      <c r="H3377" s="4">
        <v>3.134457722351211E-4</v>
      </c>
      <c r="I3377" s="4">
        <v>3.134457722351211E-4</v>
      </c>
      <c r="J3377" s="4">
        <v>3.134457722351211E-4</v>
      </c>
      <c r="K3377" s="4">
        <v>3.134457722351211E-4</v>
      </c>
      <c r="L3377" s="4">
        <v>3.134457722351211E-4</v>
      </c>
      <c r="M3377" s="4">
        <v>3.134457722351211E-4</v>
      </c>
      <c r="N3377" t="s">
        <v>242</v>
      </c>
      <c r="O3377" t="s">
        <v>315</v>
      </c>
      <c r="P3377" t="s">
        <v>412</v>
      </c>
      <c r="Q3377" t="s">
        <v>245</v>
      </c>
    </row>
    <row r="3378" spans="1:17" x14ac:dyDescent="0.25">
      <c r="A3378" t="s">
        <v>412</v>
      </c>
      <c r="B3378" t="s">
        <v>149</v>
      </c>
      <c r="C3378" s="4">
        <v>2.492025909968977E-3</v>
      </c>
      <c r="D3378" s="4">
        <v>2.492025909968977E-3</v>
      </c>
      <c r="E3378" s="4">
        <v>2.492025909968977E-3</v>
      </c>
      <c r="F3378" s="4">
        <v>2.492025909968977E-3</v>
      </c>
      <c r="G3378" s="4">
        <v>2.492025909968977E-3</v>
      </c>
      <c r="H3378" s="4">
        <v>2.492025909968977E-3</v>
      </c>
      <c r="I3378" s="4">
        <v>2.492025909968977E-3</v>
      </c>
      <c r="J3378" s="4">
        <v>2.492025909968977E-3</v>
      </c>
      <c r="K3378" s="4">
        <v>2.492025909968977E-3</v>
      </c>
      <c r="L3378" s="4">
        <v>2.492025909968977E-3</v>
      </c>
      <c r="M3378" s="4">
        <v>2.492025909968977E-3</v>
      </c>
      <c r="N3378" t="s">
        <v>242</v>
      </c>
      <c r="O3378" t="s">
        <v>315</v>
      </c>
      <c r="P3378" t="s">
        <v>412</v>
      </c>
      <c r="Q3378" t="s">
        <v>245</v>
      </c>
    </row>
    <row r="3379" spans="1:17" x14ac:dyDescent="0.25">
      <c r="A3379" t="s">
        <v>412</v>
      </c>
      <c r="B3379" t="s">
        <v>230</v>
      </c>
      <c r="C3379" s="4">
        <v>3.1172791252734718E-4</v>
      </c>
      <c r="D3379" s="4">
        <v>3.1172791252734718E-4</v>
      </c>
      <c r="E3379" s="4">
        <v>3.1172791252734718E-4</v>
      </c>
      <c r="F3379" s="4">
        <v>3.1172791252734718E-4</v>
      </c>
      <c r="G3379" s="4">
        <v>3.1172791252734718E-4</v>
      </c>
      <c r="H3379" s="4">
        <v>3.1172791252734718E-4</v>
      </c>
      <c r="I3379" s="4">
        <v>3.1172791252734718E-4</v>
      </c>
      <c r="J3379" s="4">
        <v>3.1172791252734718E-4</v>
      </c>
      <c r="K3379" s="4">
        <v>3.1172791252734718E-4</v>
      </c>
      <c r="L3379" s="4">
        <v>3.1172791252734718E-4</v>
      </c>
      <c r="M3379" s="4">
        <v>3.1172791252734718E-4</v>
      </c>
      <c r="N3379" t="s">
        <v>242</v>
      </c>
      <c r="O3379" t="s">
        <v>315</v>
      </c>
      <c r="P3379" t="s">
        <v>412</v>
      </c>
      <c r="Q3379" t="s">
        <v>245</v>
      </c>
    </row>
    <row r="3380" spans="1:17" x14ac:dyDescent="0.25">
      <c r="A3380" t="s">
        <v>412</v>
      </c>
      <c r="B3380" t="s">
        <v>171</v>
      </c>
      <c r="C3380" s="4">
        <v>2.6563201036874668E-4</v>
      </c>
      <c r="D3380" s="4">
        <v>2.6563201036874668E-4</v>
      </c>
      <c r="E3380" s="4">
        <v>2.6563201036874668E-4</v>
      </c>
      <c r="F3380" s="4">
        <v>2.6563201036874668E-4</v>
      </c>
      <c r="G3380" s="4">
        <v>2.6563201036874668E-4</v>
      </c>
      <c r="H3380" s="4">
        <v>2.6563201036874668E-4</v>
      </c>
      <c r="I3380" s="4">
        <v>2.6563201036874668E-4</v>
      </c>
      <c r="J3380" s="4">
        <v>2.6563201036874668E-4</v>
      </c>
      <c r="K3380" s="4">
        <v>2.6563201036874668E-4</v>
      </c>
      <c r="L3380" s="4">
        <v>2.6563201036874668E-4</v>
      </c>
      <c r="M3380" s="4">
        <v>2.6563201036874668E-4</v>
      </c>
      <c r="N3380" t="s">
        <v>242</v>
      </c>
      <c r="O3380" t="s">
        <v>315</v>
      </c>
      <c r="P3380" t="s">
        <v>412</v>
      </c>
      <c r="Q3380" t="s">
        <v>245</v>
      </c>
    </row>
    <row r="3381" spans="1:17" x14ac:dyDescent="0.25">
      <c r="A3381" t="s">
        <v>412</v>
      </c>
      <c r="B3381" t="s">
        <v>150</v>
      </c>
      <c r="C3381" s="4">
        <v>6.2735997936277876E-2</v>
      </c>
      <c r="D3381" s="4">
        <v>6.2735997936277876E-2</v>
      </c>
      <c r="E3381" s="4">
        <v>6.2735997936277876E-2</v>
      </c>
      <c r="F3381" s="4">
        <v>6.2735997936277876E-2</v>
      </c>
      <c r="G3381" s="4">
        <v>6.2735997936277876E-2</v>
      </c>
      <c r="H3381" s="4">
        <v>6.2735997936277876E-2</v>
      </c>
      <c r="I3381" s="4">
        <v>6.2735997936277876E-2</v>
      </c>
      <c r="J3381" s="4">
        <v>6.2735997936277876E-2</v>
      </c>
      <c r="K3381" s="4">
        <v>6.2735997936277876E-2</v>
      </c>
      <c r="L3381" s="4">
        <v>6.2735997936277876E-2</v>
      </c>
      <c r="M3381" s="4">
        <v>6.2735997936277876E-2</v>
      </c>
      <c r="N3381" t="s">
        <v>242</v>
      </c>
      <c r="O3381" t="s">
        <v>315</v>
      </c>
      <c r="P3381" t="s">
        <v>412</v>
      </c>
      <c r="Q3381" t="s">
        <v>245</v>
      </c>
    </row>
    <row r="3382" spans="1:17" x14ac:dyDescent="0.25">
      <c r="A3382" t="s">
        <v>412</v>
      </c>
      <c r="B3382" t="s">
        <v>173</v>
      </c>
      <c r="C3382" s="4">
        <v>3.840529874463107E-3</v>
      </c>
      <c r="D3382" s="4">
        <v>3.840529874463107E-3</v>
      </c>
      <c r="E3382" s="4">
        <v>3.840529874463107E-3</v>
      </c>
      <c r="F3382" s="4">
        <v>3.840529874463107E-3</v>
      </c>
      <c r="G3382" s="4">
        <v>3.840529874463107E-3</v>
      </c>
      <c r="H3382" s="4">
        <v>3.840529874463107E-3</v>
      </c>
      <c r="I3382" s="4">
        <v>3.840529874463107E-3</v>
      </c>
      <c r="J3382" s="4">
        <v>3.840529874463107E-3</v>
      </c>
      <c r="K3382" s="4">
        <v>3.840529874463107E-3</v>
      </c>
      <c r="L3382" s="4">
        <v>3.840529874463107E-3</v>
      </c>
      <c r="M3382" s="4">
        <v>3.840529874463107E-3</v>
      </c>
      <c r="N3382" t="s">
        <v>242</v>
      </c>
      <c r="O3382" t="s">
        <v>315</v>
      </c>
      <c r="P3382" t="s">
        <v>412</v>
      </c>
      <c r="Q3382" t="s">
        <v>245</v>
      </c>
    </row>
    <row r="3383" spans="1:17" x14ac:dyDescent="0.25">
      <c r="A3383" t="s">
        <v>412</v>
      </c>
      <c r="B3383" t="s">
        <v>104</v>
      </c>
      <c r="C3383" s="4">
        <v>7.7106451105600992E-4</v>
      </c>
      <c r="D3383" s="4">
        <v>7.7106451105600992E-4</v>
      </c>
      <c r="E3383" s="4">
        <v>7.7106451105600992E-4</v>
      </c>
      <c r="F3383" s="4">
        <v>7.7106451105600992E-4</v>
      </c>
      <c r="G3383" s="4">
        <v>7.7106451105600992E-4</v>
      </c>
      <c r="H3383" s="4">
        <v>7.7106451105600992E-4</v>
      </c>
      <c r="I3383" s="4">
        <v>7.7106451105600992E-4</v>
      </c>
      <c r="J3383" s="4">
        <v>7.7106451105600992E-4</v>
      </c>
      <c r="K3383" s="4">
        <v>7.7106451105600992E-4</v>
      </c>
      <c r="L3383" s="4">
        <v>7.7106451105600992E-4</v>
      </c>
      <c r="M3383" s="4">
        <v>7.7106451105600992E-4</v>
      </c>
      <c r="N3383" t="s">
        <v>242</v>
      </c>
      <c r="O3383" t="s">
        <v>315</v>
      </c>
      <c r="P3383" t="s">
        <v>412</v>
      </c>
      <c r="Q3383" t="s">
        <v>245</v>
      </c>
    </row>
    <row r="3384" spans="1:17" x14ac:dyDescent="0.25">
      <c r="A3384" t="s">
        <v>412</v>
      </c>
      <c r="B3384" t="s">
        <v>161</v>
      </c>
      <c r="C3384" s="4">
        <v>3.6006339474941589E-3</v>
      </c>
      <c r="D3384" s="4">
        <v>3.6006339474941589E-3</v>
      </c>
      <c r="E3384" s="4">
        <v>3.6006339474941589E-3</v>
      </c>
      <c r="F3384" s="4">
        <v>3.6006339474941589E-3</v>
      </c>
      <c r="G3384" s="4">
        <v>3.6006339474941589E-3</v>
      </c>
      <c r="H3384" s="4">
        <v>3.6006339474941589E-3</v>
      </c>
      <c r="I3384" s="4">
        <v>3.6006339474941589E-3</v>
      </c>
      <c r="J3384" s="4">
        <v>3.6006339474941589E-3</v>
      </c>
      <c r="K3384" s="4">
        <v>3.6006339474941589E-3</v>
      </c>
      <c r="L3384" s="4">
        <v>3.6006339474941589E-3</v>
      </c>
      <c r="M3384" s="4">
        <v>3.6006339474941589E-3</v>
      </c>
      <c r="N3384" t="s">
        <v>242</v>
      </c>
      <c r="O3384" t="s">
        <v>315</v>
      </c>
      <c r="P3384" t="s">
        <v>412</v>
      </c>
      <c r="Q3384" t="s">
        <v>245</v>
      </c>
    </row>
    <row r="3385" spans="1:17" x14ac:dyDescent="0.25">
      <c r="A3385" t="s">
        <v>412</v>
      </c>
      <c r="B3385" t="s">
        <v>174</v>
      </c>
      <c r="C3385" s="4">
        <v>1.2695460423701511E-3</v>
      </c>
      <c r="D3385" s="4">
        <v>1.2695460423701511E-3</v>
      </c>
      <c r="E3385" s="4">
        <v>1.2695460423701511E-3</v>
      </c>
      <c r="F3385" s="4">
        <v>1.2695460423701511E-3</v>
      </c>
      <c r="G3385" s="4">
        <v>1.2695460423701511E-3</v>
      </c>
      <c r="H3385" s="4">
        <v>1.2695460423701511E-3</v>
      </c>
      <c r="I3385" s="4">
        <v>1.2695460423701511E-3</v>
      </c>
      <c r="J3385" s="4">
        <v>1.2695460423701511E-3</v>
      </c>
      <c r="K3385" s="4">
        <v>1.2695460423701511E-3</v>
      </c>
      <c r="L3385" s="4">
        <v>1.2695460423701511E-3</v>
      </c>
      <c r="M3385" s="4">
        <v>1.2695460423701511E-3</v>
      </c>
      <c r="N3385" t="s">
        <v>242</v>
      </c>
      <c r="O3385" t="s">
        <v>315</v>
      </c>
      <c r="P3385" t="s">
        <v>412</v>
      </c>
      <c r="Q3385" t="s">
        <v>245</v>
      </c>
    </row>
    <row r="3386" spans="1:17" x14ac:dyDescent="0.25">
      <c r="A3386" t="s">
        <v>412</v>
      </c>
      <c r="B3386" t="s">
        <v>175</v>
      </c>
      <c r="C3386" s="4">
        <v>8.1394578870589637E-3</v>
      </c>
      <c r="D3386" s="4">
        <v>8.1394578870589637E-3</v>
      </c>
      <c r="E3386" s="4">
        <v>8.1394578870589637E-3</v>
      </c>
      <c r="F3386" s="4">
        <v>8.1394578870589637E-3</v>
      </c>
      <c r="G3386" s="4">
        <v>8.1394578870589637E-3</v>
      </c>
      <c r="H3386" s="4">
        <v>8.1394578870589637E-3</v>
      </c>
      <c r="I3386" s="4">
        <v>8.1394578870589637E-3</v>
      </c>
      <c r="J3386" s="4">
        <v>8.1394578870589637E-3</v>
      </c>
      <c r="K3386" s="4">
        <v>8.1394578870589637E-3</v>
      </c>
      <c r="L3386" s="4">
        <v>8.1394578870589637E-3</v>
      </c>
      <c r="M3386" s="4">
        <v>8.1394578870589637E-3</v>
      </c>
      <c r="N3386" t="s">
        <v>242</v>
      </c>
      <c r="O3386" t="s">
        <v>315</v>
      </c>
      <c r="P3386" t="s">
        <v>412</v>
      </c>
      <c r="Q3386" t="s">
        <v>245</v>
      </c>
    </row>
    <row r="3387" spans="1:17" x14ac:dyDescent="0.25">
      <c r="A3387" t="s">
        <v>412</v>
      </c>
      <c r="B3387" t="s">
        <v>203</v>
      </c>
      <c r="C3387" s="4">
        <v>2.0852908119366881E-3</v>
      </c>
      <c r="D3387" s="4">
        <v>2.0852908119366881E-3</v>
      </c>
      <c r="E3387" s="4">
        <v>2.0852908119366881E-3</v>
      </c>
      <c r="F3387" s="4">
        <v>2.0852908119366881E-3</v>
      </c>
      <c r="G3387" s="4">
        <v>2.0852908119366881E-3</v>
      </c>
      <c r="H3387" s="4">
        <v>2.0852908119366881E-3</v>
      </c>
      <c r="I3387" s="4">
        <v>2.0852908119366881E-3</v>
      </c>
      <c r="J3387" s="4">
        <v>2.0852908119366881E-3</v>
      </c>
      <c r="K3387" s="4">
        <v>2.0852908119366881E-3</v>
      </c>
      <c r="L3387" s="4">
        <v>2.0852908119366881E-3</v>
      </c>
      <c r="M3387" s="4">
        <v>2.0852908119366881E-3</v>
      </c>
      <c r="N3387" t="s">
        <v>242</v>
      </c>
      <c r="O3387" t="s">
        <v>315</v>
      </c>
      <c r="P3387" t="s">
        <v>412</v>
      </c>
      <c r="Q3387" t="s">
        <v>245</v>
      </c>
    </row>
    <row r="3388" spans="1:17" x14ac:dyDescent="0.25">
      <c r="A3388" t="s">
        <v>412</v>
      </c>
      <c r="B3388" t="s">
        <v>176</v>
      </c>
      <c r="C3388" s="4">
        <v>2.3926604507609789E-3</v>
      </c>
      <c r="D3388" s="4">
        <v>2.3926604507609789E-3</v>
      </c>
      <c r="E3388" s="4">
        <v>2.3926604507609789E-3</v>
      </c>
      <c r="F3388" s="4">
        <v>2.3926604507609789E-3</v>
      </c>
      <c r="G3388" s="4">
        <v>2.3926604507609789E-3</v>
      </c>
      <c r="H3388" s="4">
        <v>2.3926604507609789E-3</v>
      </c>
      <c r="I3388" s="4">
        <v>2.3926604507609789E-3</v>
      </c>
      <c r="J3388" s="4">
        <v>2.3926604507609789E-3</v>
      </c>
      <c r="K3388" s="4">
        <v>2.3926604507609789E-3</v>
      </c>
      <c r="L3388" s="4">
        <v>2.3926604507609789E-3</v>
      </c>
      <c r="M3388" s="4">
        <v>2.3926604507609789E-3</v>
      </c>
      <c r="N3388" t="s">
        <v>242</v>
      </c>
      <c r="O3388" t="s">
        <v>315</v>
      </c>
      <c r="P3388" t="s">
        <v>412</v>
      </c>
      <c r="Q3388" t="s">
        <v>245</v>
      </c>
    </row>
    <row r="3389" spans="1:17" x14ac:dyDescent="0.25">
      <c r="A3389" t="s">
        <v>412</v>
      </c>
      <c r="B3389" t="s">
        <v>106</v>
      </c>
      <c r="C3389" s="4">
        <v>1.8932722712677349E-3</v>
      </c>
      <c r="D3389" s="4">
        <v>1.8932722712677349E-3</v>
      </c>
      <c r="E3389" s="4">
        <v>1.8932722712677349E-3</v>
      </c>
      <c r="F3389" s="4">
        <v>1.8932722712677349E-3</v>
      </c>
      <c r="G3389" s="4">
        <v>1.8932722712677349E-3</v>
      </c>
      <c r="H3389" s="4">
        <v>1.8932722712677349E-3</v>
      </c>
      <c r="I3389" s="4">
        <v>1.8932722712677349E-3</v>
      </c>
      <c r="J3389" s="4">
        <v>1.8932722712677349E-3</v>
      </c>
      <c r="K3389" s="4">
        <v>1.8932722712677349E-3</v>
      </c>
      <c r="L3389" s="4">
        <v>1.8932722712677349E-3</v>
      </c>
      <c r="M3389" s="4">
        <v>1.8932722712677349E-3</v>
      </c>
      <c r="N3389" t="s">
        <v>242</v>
      </c>
      <c r="O3389" t="s">
        <v>315</v>
      </c>
      <c r="P3389" t="s">
        <v>412</v>
      </c>
      <c r="Q3389" t="s">
        <v>245</v>
      </c>
    </row>
    <row r="3390" spans="1:17" x14ac:dyDescent="0.25">
      <c r="A3390" t="s">
        <v>412</v>
      </c>
      <c r="B3390" t="s">
        <v>146</v>
      </c>
      <c r="C3390" s="4">
        <v>0.1148174641244485</v>
      </c>
      <c r="D3390" s="4">
        <v>0.1148174641244485</v>
      </c>
      <c r="E3390" s="4">
        <v>0.1148174641244485</v>
      </c>
      <c r="F3390" s="4">
        <v>0.1148174641244485</v>
      </c>
      <c r="G3390" s="4">
        <v>0.1148174641244485</v>
      </c>
      <c r="H3390" s="4">
        <v>0.1148174641244485</v>
      </c>
      <c r="I3390" s="4">
        <v>0.1148174641244485</v>
      </c>
      <c r="J3390" s="4">
        <v>0.1148174641244485</v>
      </c>
      <c r="K3390" s="4">
        <v>0.1148174641244485</v>
      </c>
      <c r="L3390" s="4">
        <v>0.1148174641244485</v>
      </c>
      <c r="M3390" s="4">
        <v>0.1148174641244485</v>
      </c>
      <c r="N3390" t="s">
        <v>310</v>
      </c>
      <c r="O3390" t="s">
        <v>379</v>
      </c>
      <c r="P3390" t="s">
        <v>412</v>
      </c>
      <c r="Q3390" t="s">
        <v>245</v>
      </c>
    </row>
    <row r="3391" spans="1:17" x14ac:dyDescent="0.25">
      <c r="A3391" t="s">
        <v>412</v>
      </c>
      <c r="B3391" t="s">
        <v>151</v>
      </c>
      <c r="C3391" s="4">
        <v>3.2508586236612998E-3</v>
      </c>
      <c r="D3391" s="4">
        <v>3.2508586236612998E-3</v>
      </c>
      <c r="E3391" s="4">
        <v>3.2508586236612998E-3</v>
      </c>
      <c r="F3391" s="4">
        <v>3.2508586236612998E-3</v>
      </c>
      <c r="G3391" s="4">
        <v>3.2508586236612998E-3</v>
      </c>
      <c r="H3391" s="4">
        <v>3.2508586236612998E-3</v>
      </c>
      <c r="I3391" s="4">
        <v>3.2508586236612998E-3</v>
      </c>
      <c r="J3391" s="4">
        <v>3.2508586236612998E-3</v>
      </c>
      <c r="K3391" s="4">
        <v>3.2508586236612998E-3</v>
      </c>
      <c r="L3391" s="4">
        <v>3.2508586236612998E-3</v>
      </c>
      <c r="M3391" s="4">
        <v>3.2508586236612998E-3</v>
      </c>
      <c r="N3391" t="s">
        <v>242</v>
      </c>
      <c r="O3391" t="s">
        <v>315</v>
      </c>
      <c r="P3391" t="s">
        <v>412</v>
      </c>
      <c r="Q3391" t="s">
        <v>245</v>
      </c>
    </row>
    <row r="3392" spans="1:17" x14ac:dyDescent="0.25">
      <c r="A3392" t="s">
        <v>412</v>
      </c>
      <c r="B3392" t="s">
        <v>178</v>
      </c>
      <c r="C3392" s="4">
        <v>1.1809665152717971E-2</v>
      </c>
      <c r="D3392" s="4">
        <v>1.1809665152717971E-2</v>
      </c>
      <c r="E3392" s="4">
        <v>1.1809665152717971E-2</v>
      </c>
      <c r="F3392" s="4">
        <v>1.1809665152717971E-2</v>
      </c>
      <c r="G3392" s="4">
        <v>1.1809665152717971E-2</v>
      </c>
      <c r="H3392" s="4">
        <v>1.1809665152717971E-2</v>
      </c>
      <c r="I3392" s="4">
        <v>1.1809665152717971E-2</v>
      </c>
      <c r="J3392" s="4">
        <v>1.1809665152717971E-2</v>
      </c>
      <c r="K3392" s="4">
        <v>1.1809665152717971E-2</v>
      </c>
      <c r="L3392" s="4">
        <v>1.1809665152717971E-2</v>
      </c>
      <c r="M3392" s="4">
        <v>1.1809665152717971E-2</v>
      </c>
      <c r="N3392" t="s">
        <v>242</v>
      </c>
      <c r="O3392" t="s">
        <v>315</v>
      </c>
      <c r="P3392" t="s">
        <v>412</v>
      </c>
      <c r="Q3392" t="s">
        <v>245</v>
      </c>
    </row>
    <row r="3393" spans="1:18" x14ac:dyDescent="0.25">
      <c r="A3393" t="s">
        <v>412</v>
      </c>
      <c r="B3393" t="s">
        <v>120</v>
      </c>
      <c r="C3393" s="4">
        <v>8.4302374548165114E-5</v>
      </c>
      <c r="D3393" s="4">
        <v>8.4302374548165114E-5</v>
      </c>
      <c r="E3393" s="4">
        <v>8.4302374548165114E-5</v>
      </c>
      <c r="F3393" s="4">
        <v>8.4302374548165114E-5</v>
      </c>
      <c r="G3393" s="4">
        <v>8.4302374548165114E-5</v>
      </c>
      <c r="H3393" s="4">
        <v>8.4302374548165114E-5</v>
      </c>
      <c r="I3393" s="4">
        <v>8.4302374548165114E-5</v>
      </c>
      <c r="J3393" s="4">
        <v>8.4302374548165114E-5</v>
      </c>
      <c r="K3393" s="4">
        <v>8.4302374548165114E-5</v>
      </c>
      <c r="L3393" s="4">
        <v>8.4302374548165114E-5</v>
      </c>
      <c r="M3393" s="4">
        <v>8.4302374548165114E-5</v>
      </c>
      <c r="N3393" t="s">
        <v>242</v>
      </c>
      <c r="O3393" t="s">
        <v>315</v>
      </c>
      <c r="P3393" t="s">
        <v>412</v>
      </c>
      <c r="Q3393" t="s">
        <v>245</v>
      </c>
    </row>
    <row r="3394" spans="1:18" x14ac:dyDescent="0.25">
      <c r="A3394" t="s">
        <v>412</v>
      </c>
      <c r="B3394" t="s">
        <v>107</v>
      </c>
      <c r="C3394" s="4">
        <v>2.1621173155343551E-2</v>
      </c>
      <c r="D3394" s="4">
        <v>2.1621173155343551E-2</v>
      </c>
      <c r="E3394" s="4">
        <v>2.1621173155343551E-2</v>
      </c>
      <c r="F3394" s="4">
        <v>2.1621173155343551E-2</v>
      </c>
      <c r="G3394" s="4">
        <v>2.1621173155343551E-2</v>
      </c>
      <c r="H3394" s="4">
        <v>2.1621173155343551E-2</v>
      </c>
      <c r="I3394" s="4">
        <v>2.1621173155343551E-2</v>
      </c>
      <c r="J3394" s="4">
        <v>2.1621173155343551E-2</v>
      </c>
      <c r="K3394" s="4">
        <v>2.1621173155343551E-2</v>
      </c>
      <c r="L3394" s="4">
        <v>2.1621173155343551E-2</v>
      </c>
      <c r="M3394" s="4">
        <v>2.1621173155343551E-2</v>
      </c>
      <c r="N3394" t="s">
        <v>242</v>
      </c>
      <c r="O3394" t="s">
        <v>315</v>
      </c>
      <c r="P3394" t="s">
        <v>412</v>
      </c>
      <c r="Q3394" t="s">
        <v>245</v>
      </c>
    </row>
    <row r="3395" spans="1:18" x14ac:dyDescent="0.25">
      <c r="A3395" t="s">
        <v>412</v>
      </c>
      <c r="B3395" t="s">
        <v>108</v>
      </c>
      <c r="C3395" s="4">
        <v>2.5888145796153141E-3</v>
      </c>
      <c r="D3395" s="4">
        <v>2.5888145796153141E-3</v>
      </c>
      <c r="E3395" s="4">
        <v>2.5888145796153141E-3</v>
      </c>
      <c r="F3395" s="4">
        <v>2.5888145796153141E-3</v>
      </c>
      <c r="G3395" s="4">
        <v>2.5888145796153141E-3</v>
      </c>
      <c r="H3395" s="4">
        <v>2.5888145796153141E-3</v>
      </c>
      <c r="I3395" s="4">
        <v>2.5888145796153141E-3</v>
      </c>
      <c r="J3395" s="4">
        <v>2.5888145796153141E-3</v>
      </c>
      <c r="K3395" s="4">
        <v>2.5888145796153141E-3</v>
      </c>
      <c r="L3395" s="4">
        <v>2.5888145796153141E-3</v>
      </c>
      <c r="M3395" s="4">
        <v>2.5888145796153141E-3</v>
      </c>
      <c r="N3395" t="s">
        <v>242</v>
      </c>
      <c r="O3395" t="s">
        <v>315</v>
      </c>
      <c r="P3395" t="s">
        <v>412</v>
      </c>
      <c r="Q3395" t="s">
        <v>245</v>
      </c>
    </row>
    <row r="3396" spans="1:18" x14ac:dyDescent="0.25">
      <c r="A3396" t="s">
        <v>412</v>
      </c>
      <c r="B3396" t="s">
        <v>179</v>
      </c>
      <c r="C3396" s="4">
        <v>6.919157156311665E-4</v>
      </c>
      <c r="D3396" s="4">
        <v>6.919157156311665E-4</v>
      </c>
      <c r="E3396" s="4">
        <v>6.919157156311665E-4</v>
      </c>
      <c r="F3396" s="4">
        <v>6.919157156311665E-4</v>
      </c>
      <c r="G3396" s="4">
        <v>6.919157156311665E-4</v>
      </c>
      <c r="H3396" s="4">
        <v>6.919157156311665E-4</v>
      </c>
      <c r="I3396" s="4">
        <v>6.919157156311665E-4</v>
      </c>
      <c r="J3396" s="4">
        <v>6.919157156311665E-4</v>
      </c>
      <c r="K3396" s="4">
        <v>6.919157156311665E-4</v>
      </c>
      <c r="L3396" s="4">
        <v>6.919157156311665E-4</v>
      </c>
      <c r="M3396" s="4">
        <v>6.919157156311665E-4</v>
      </c>
      <c r="N3396" t="s">
        <v>242</v>
      </c>
      <c r="O3396" t="s">
        <v>315</v>
      </c>
      <c r="P3396" t="s">
        <v>412</v>
      </c>
      <c r="Q3396" t="s">
        <v>245</v>
      </c>
    </row>
    <row r="3397" spans="1:18" x14ac:dyDescent="0.25">
      <c r="A3397" t="s">
        <v>412</v>
      </c>
      <c r="B3397" t="s">
        <v>135</v>
      </c>
      <c r="C3397" s="4">
        <v>8.8597023817599954E-6</v>
      </c>
      <c r="D3397" s="4">
        <v>8.8597023817599954E-6</v>
      </c>
      <c r="E3397" s="4">
        <v>8.8597023817599954E-6</v>
      </c>
      <c r="F3397" s="4">
        <v>8.8597023817599954E-6</v>
      </c>
      <c r="G3397" s="4">
        <v>8.8597023817599954E-6</v>
      </c>
      <c r="H3397" s="4">
        <v>8.8597023817599954E-6</v>
      </c>
      <c r="I3397" s="4">
        <v>8.8597023817599954E-6</v>
      </c>
      <c r="J3397" s="4">
        <v>8.8597023817599954E-6</v>
      </c>
      <c r="K3397" s="4">
        <v>8.8597023817599954E-6</v>
      </c>
      <c r="L3397" s="4">
        <v>8.8597023817599954E-6</v>
      </c>
      <c r="M3397" s="4">
        <v>8.8597023817599954E-6</v>
      </c>
      <c r="N3397" t="s">
        <v>242</v>
      </c>
      <c r="O3397" t="s">
        <v>315</v>
      </c>
      <c r="P3397" t="s">
        <v>412</v>
      </c>
      <c r="Q3397" t="s">
        <v>245</v>
      </c>
    </row>
    <row r="3398" spans="1:18" x14ac:dyDescent="0.25">
      <c r="A3398" t="s">
        <v>412</v>
      </c>
      <c r="B3398" t="s">
        <v>137</v>
      </c>
      <c r="C3398" s="4">
        <v>8.5680638841485589E-3</v>
      </c>
      <c r="D3398" s="4">
        <v>8.5680638841485589E-3</v>
      </c>
      <c r="E3398" s="4">
        <v>8.5680638841485589E-3</v>
      </c>
      <c r="F3398" s="4">
        <v>8.5680638841485589E-3</v>
      </c>
      <c r="G3398" s="4">
        <v>8.5680638841485589E-3</v>
      </c>
      <c r="H3398" s="4">
        <v>8.5680638841485589E-3</v>
      </c>
      <c r="I3398" s="4">
        <v>8.5680638841485589E-3</v>
      </c>
      <c r="J3398" s="4">
        <v>8.5680638841485589E-3</v>
      </c>
      <c r="K3398" s="4">
        <v>8.5680638841485589E-3</v>
      </c>
      <c r="L3398" s="4">
        <v>8.5680638841485589E-3</v>
      </c>
      <c r="M3398" s="4">
        <v>8.5680638841485589E-3</v>
      </c>
      <c r="N3398" t="s">
        <v>242</v>
      </c>
      <c r="O3398" t="s">
        <v>315</v>
      </c>
      <c r="P3398" t="s">
        <v>412</v>
      </c>
      <c r="Q3398" t="s">
        <v>245</v>
      </c>
    </row>
    <row r="3399" spans="1:18" x14ac:dyDescent="0.25">
      <c r="A3399" t="s">
        <v>412</v>
      </c>
      <c r="B3399" t="s">
        <v>121</v>
      </c>
      <c r="C3399" s="4">
        <v>7.135989226092908E-3</v>
      </c>
      <c r="D3399" s="4">
        <v>7.135989226092908E-3</v>
      </c>
      <c r="E3399" s="4">
        <v>7.135989226092908E-3</v>
      </c>
      <c r="F3399" s="4">
        <v>7.135989226092908E-3</v>
      </c>
      <c r="G3399" s="4">
        <v>7.135989226092908E-3</v>
      </c>
      <c r="H3399" s="4">
        <v>7.135989226092908E-3</v>
      </c>
      <c r="I3399" s="4">
        <v>7.135989226092908E-3</v>
      </c>
      <c r="J3399" s="4">
        <v>7.135989226092908E-3</v>
      </c>
      <c r="K3399" s="4">
        <v>7.135989226092908E-3</v>
      </c>
      <c r="L3399" s="4">
        <v>7.135989226092908E-3</v>
      </c>
      <c r="M3399" s="4">
        <v>7.135989226092908E-3</v>
      </c>
      <c r="N3399" t="s">
        <v>242</v>
      </c>
      <c r="O3399" t="s">
        <v>315</v>
      </c>
      <c r="P3399" t="s">
        <v>412</v>
      </c>
      <c r="Q3399" t="s">
        <v>245</v>
      </c>
    </row>
    <row r="3400" spans="1:18" x14ac:dyDescent="0.25">
      <c r="A3400" t="s">
        <v>412</v>
      </c>
      <c r="B3400" t="s">
        <v>138</v>
      </c>
      <c r="C3400" s="4">
        <v>1.921208169459989E-2</v>
      </c>
      <c r="D3400" s="4">
        <v>1.921208169459989E-2</v>
      </c>
      <c r="E3400" s="4">
        <v>1.921208169459989E-2</v>
      </c>
      <c r="F3400" s="4">
        <v>1.921208169459989E-2</v>
      </c>
      <c r="G3400" s="4">
        <v>1.921208169459989E-2</v>
      </c>
      <c r="H3400" s="4">
        <v>1.921208169459989E-2</v>
      </c>
      <c r="I3400" s="4">
        <v>1.921208169459989E-2</v>
      </c>
      <c r="J3400" s="4">
        <v>1.921208169459989E-2</v>
      </c>
      <c r="K3400" s="4">
        <v>1.921208169459989E-2</v>
      </c>
      <c r="L3400" s="4">
        <v>1.921208169459989E-2</v>
      </c>
      <c r="M3400" s="4">
        <v>1.921208169459989E-2</v>
      </c>
      <c r="N3400" t="s">
        <v>242</v>
      </c>
      <c r="O3400" t="s">
        <v>315</v>
      </c>
      <c r="P3400" t="s">
        <v>412</v>
      </c>
      <c r="Q3400" t="s">
        <v>245</v>
      </c>
    </row>
    <row r="3401" spans="1:18" x14ac:dyDescent="0.25">
      <c r="A3401" t="s">
        <v>412</v>
      </c>
      <c r="B3401" t="s">
        <v>139</v>
      </c>
      <c r="C3401" s="4">
        <v>5.9207307317100952E-3</v>
      </c>
      <c r="D3401" s="4">
        <v>5.9207307317100952E-3</v>
      </c>
      <c r="E3401" s="4">
        <v>5.9207307317100952E-3</v>
      </c>
      <c r="F3401" s="4">
        <v>5.9207307317100952E-3</v>
      </c>
      <c r="G3401" s="4">
        <v>5.9207307317100952E-3</v>
      </c>
      <c r="H3401" s="4">
        <v>5.9207307317100952E-3</v>
      </c>
      <c r="I3401" s="4">
        <v>5.9207307317100952E-3</v>
      </c>
      <c r="J3401" s="4">
        <v>5.9207307317100952E-3</v>
      </c>
      <c r="K3401" s="4">
        <v>5.9207307317100952E-3</v>
      </c>
      <c r="L3401" s="4">
        <v>5.9207307317100952E-3</v>
      </c>
      <c r="M3401" s="4">
        <v>5.9207307317100952E-3</v>
      </c>
      <c r="N3401" t="s">
        <v>242</v>
      </c>
      <c r="O3401" t="s">
        <v>315</v>
      </c>
      <c r="P3401" t="s">
        <v>412</v>
      </c>
      <c r="Q3401" t="s">
        <v>245</v>
      </c>
    </row>
    <row r="3402" spans="1:18" x14ac:dyDescent="0.25">
      <c r="A3402" t="s">
        <v>412</v>
      </c>
      <c r="B3402" t="s">
        <v>215</v>
      </c>
      <c r="C3402" s="4">
        <v>1.8801020135081352E-5</v>
      </c>
      <c r="D3402" s="4">
        <v>1.8801020135081352E-5</v>
      </c>
      <c r="E3402" s="4">
        <v>1.8801020135081352E-5</v>
      </c>
      <c r="F3402" s="4">
        <v>1.8801020135081352E-5</v>
      </c>
      <c r="G3402" s="4">
        <v>1.8801020135081352E-5</v>
      </c>
      <c r="H3402" s="4">
        <v>1.8801020135081352E-5</v>
      </c>
      <c r="I3402" s="4">
        <v>1.8801020135081352E-5</v>
      </c>
      <c r="J3402" s="4">
        <v>1.8801020135081352E-5</v>
      </c>
      <c r="K3402" s="4">
        <v>1.8801020135081352E-5</v>
      </c>
      <c r="L3402" s="4">
        <v>1.8801020135081352E-5</v>
      </c>
      <c r="M3402" s="4">
        <v>1.8801020135081352E-5</v>
      </c>
      <c r="N3402" t="s">
        <v>242</v>
      </c>
      <c r="O3402" t="s">
        <v>315</v>
      </c>
      <c r="P3402" t="s">
        <v>412</v>
      </c>
      <c r="Q3402" t="s">
        <v>245</v>
      </c>
    </row>
    <row r="3403" spans="1:18" x14ac:dyDescent="0.25">
      <c r="A3403" t="s">
        <v>412</v>
      </c>
      <c r="B3403" t="s">
        <v>112</v>
      </c>
      <c r="C3403" s="4">
        <v>1.26400753542342E-2</v>
      </c>
      <c r="D3403" s="4">
        <v>1.26400753542342E-2</v>
      </c>
      <c r="E3403" s="4">
        <v>1.26400753542342E-2</v>
      </c>
      <c r="F3403" s="4">
        <v>1.26400753542342E-2</v>
      </c>
      <c r="G3403" s="4">
        <v>1.26400753542342E-2</v>
      </c>
      <c r="H3403" s="4">
        <v>1.26400753542342E-2</v>
      </c>
      <c r="I3403" s="4">
        <v>1.26400753542342E-2</v>
      </c>
      <c r="J3403" s="4">
        <v>1.26400753542342E-2</v>
      </c>
      <c r="K3403" s="4">
        <v>1.26400753542342E-2</v>
      </c>
      <c r="L3403" s="4">
        <v>1.26400753542342E-2</v>
      </c>
      <c r="M3403" s="4">
        <v>1.26400753542342E-2</v>
      </c>
      <c r="N3403" t="s">
        <v>242</v>
      </c>
      <c r="O3403" t="s">
        <v>315</v>
      </c>
      <c r="P3403" t="s">
        <v>412</v>
      </c>
      <c r="Q3403" t="s">
        <v>245</v>
      </c>
    </row>
    <row r="3404" spans="1:18" x14ac:dyDescent="0.25">
      <c r="A3404" t="s">
        <v>412</v>
      </c>
      <c r="B3404" t="s">
        <v>113</v>
      </c>
      <c r="C3404" s="4">
        <v>6.0583185694160623E-2</v>
      </c>
      <c r="D3404" s="4">
        <v>6.0583185694160623E-2</v>
      </c>
      <c r="E3404" s="4">
        <v>6.0583185694160623E-2</v>
      </c>
      <c r="F3404" s="4">
        <v>6.0583185694160623E-2</v>
      </c>
      <c r="G3404" s="4">
        <v>6.0583185694160623E-2</v>
      </c>
      <c r="H3404" s="4">
        <v>6.0583185694160623E-2</v>
      </c>
      <c r="I3404" s="4">
        <v>6.0583185694160623E-2</v>
      </c>
      <c r="J3404" s="4">
        <v>6.0583185694160623E-2</v>
      </c>
      <c r="K3404" s="4">
        <v>6.0583185694160623E-2</v>
      </c>
      <c r="L3404" s="4">
        <v>6.0583185694160623E-2</v>
      </c>
      <c r="M3404" s="4">
        <v>6.0583185694160623E-2</v>
      </c>
      <c r="N3404" t="s">
        <v>242</v>
      </c>
      <c r="O3404" t="s">
        <v>315</v>
      </c>
      <c r="P3404" t="s">
        <v>412</v>
      </c>
      <c r="Q3404" t="s">
        <v>245</v>
      </c>
    </row>
    <row r="3405" spans="1:18" x14ac:dyDescent="0.25">
      <c r="A3405" t="s">
        <v>412</v>
      </c>
      <c r="B3405" t="s">
        <v>180</v>
      </c>
      <c r="C3405" s="4">
        <v>2.9903483801990648E-3</v>
      </c>
      <c r="D3405" s="4">
        <v>2.9903483801990648E-3</v>
      </c>
      <c r="E3405" s="4">
        <v>2.9903483801990648E-3</v>
      </c>
      <c r="F3405" s="4">
        <v>2.9903483801990648E-3</v>
      </c>
      <c r="G3405" s="4">
        <v>2.9903483801990648E-3</v>
      </c>
      <c r="H3405" s="4">
        <v>2.9903483801990648E-3</v>
      </c>
      <c r="I3405" s="4">
        <v>2.9903483801990648E-3</v>
      </c>
      <c r="J3405" s="4">
        <v>2.9903483801990648E-3</v>
      </c>
      <c r="K3405" s="4">
        <v>2.9903483801990648E-3</v>
      </c>
      <c r="L3405" s="4">
        <v>2.9903483801990648E-3</v>
      </c>
      <c r="M3405" s="4">
        <v>2.9903483801990648E-3</v>
      </c>
      <c r="N3405" t="s">
        <v>242</v>
      </c>
      <c r="O3405" t="s">
        <v>315</v>
      </c>
      <c r="P3405" t="s">
        <v>412</v>
      </c>
      <c r="Q3405" t="s">
        <v>245</v>
      </c>
    </row>
    <row r="3406" spans="1:18" x14ac:dyDescent="0.25">
      <c r="A3406" t="s">
        <v>412</v>
      </c>
      <c r="B3406" t="s">
        <v>115</v>
      </c>
      <c r="C3406" s="4">
        <v>9.5436650431885046E-4</v>
      </c>
      <c r="D3406" s="4">
        <v>9.5436650431885046E-4</v>
      </c>
      <c r="E3406" s="4">
        <v>9.5436650431885046E-4</v>
      </c>
      <c r="F3406" s="4">
        <v>9.5436650431885046E-4</v>
      </c>
      <c r="G3406" s="4">
        <v>9.5436650431885046E-4</v>
      </c>
      <c r="H3406" s="4">
        <v>9.5436650431885046E-4</v>
      </c>
      <c r="I3406" s="4">
        <v>9.5436650431885046E-4</v>
      </c>
      <c r="J3406" s="4">
        <v>9.5436650431885046E-4</v>
      </c>
      <c r="K3406" s="4">
        <v>9.5436650431885046E-4</v>
      </c>
      <c r="L3406" s="4">
        <v>9.5436650431885046E-4</v>
      </c>
      <c r="M3406" s="4">
        <v>9.5436650431885046E-4</v>
      </c>
      <c r="N3406" t="s">
        <v>242</v>
      </c>
      <c r="O3406" t="s">
        <v>315</v>
      </c>
      <c r="P3406" t="s">
        <v>412</v>
      </c>
      <c r="Q3406" t="s">
        <v>245</v>
      </c>
    </row>
    <row r="3407" spans="1:18" x14ac:dyDescent="0.25">
      <c r="A3407" t="s">
        <v>412</v>
      </c>
      <c r="B3407" t="s">
        <v>143</v>
      </c>
      <c r="C3407" s="4">
        <v>2.4559031377805082E-5</v>
      </c>
      <c r="D3407" s="4">
        <v>2.4559031377805082E-5</v>
      </c>
      <c r="E3407" s="4">
        <v>2.4559031377805082E-5</v>
      </c>
      <c r="F3407" s="4">
        <v>2.4559031377805082E-5</v>
      </c>
      <c r="G3407" s="4">
        <v>2.4559031377805082E-5</v>
      </c>
      <c r="H3407" s="4">
        <v>2.4559031377805082E-5</v>
      </c>
      <c r="I3407" s="4">
        <v>2.4559031377805082E-5</v>
      </c>
      <c r="J3407" s="4">
        <v>2.4559031377805082E-5</v>
      </c>
      <c r="K3407" s="4">
        <v>2.4559031377805082E-5</v>
      </c>
      <c r="L3407" s="4">
        <v>2.4559031377805082E-5</v>
      </c>
      <c r="M3407" s="4">
        <v>2.4559031377805082E-5</v>
      </c>
      <c r="N3407" t="s">
        <v>242</v>
      </c>
      <c r="O3407" t="s">
        <v>315</v>
      </c>
      <c r="P3407" t="s">
        <v>412</v>
      </c>
      <c r="Q3407" t="s">
        <v>245</v>
      </c>
    </row>
    <row r="3408" spans="1:18" x14ac:dyDescent="0.25">
      <c r="A3408" t="s">
        <v>415</v>
      </c>
      <c r="B3408" t="s">
        <v>183</v>
      </c>
      <c r="C3408" s="4">
        <v>5.9552410536364508E-5</v>
      </c>
      <c r="D3408" s="4">
        <v>5.9552410536364508E-5</v>
      </c>
      <c r="E3408" s="4">
        <v>5.9552410536364508E-5</v>
      </c>
      <c r="F3408" s="4">
        <v>5.9552410536364508E-5</v>
      </c>
      <c r="G3408" s="4">
        <v>5.9552410536364508E-5</v>
      </c>
      <c r="H3408" s="4">
        <v>5.9552410536364508E-5</v>
      </c>
      <c r="I3408" s="4">
        <v>5.9552410536364508E-5</v>
      </c>
      <c r="J3408" s="4">
        <v>5.9552410536364508E-5</v>
      </c>
      <c r="K3408" s="4">
        <v>5.9552410536364508E-5</v>
      </c>
      <c r="L3408" s="4">
        <v>5.9552410536364508E-5</v>
      </c>
      <c r="M3408" s="4">
        <v>5.9552410536364508E-5</v>
      </c>
      <c r="N3408" t="s">
        <v>256</v>
      </c>
      <c r="O3408" t="s">
        <v>280</v>
      </c>
      <c r="P3408" t="s">
        <v>415</v>
      </c>
      <c r="Q3408" t="s">
        <v>245</v>
      </c>
      <c r="R3408" t="s">
        <v>414</v>
      </c>
    </row>
    <row r="3409" spans="1:18" x14ac:dyDescent="0.25">
      <c r="A3409" t="s">
        <v>415</v>
      </c>
      <c r="B3409" t="s">
        <v>83</v>
      </c>
      <c r="C3409" s="4">
        <v>3.3690969516470513E-2</v>
      </c>
      <c r="D3409" s="4">
        <v>3.3690969516470513E-2</v>
      </c>
      <c r="E3409" s="4">
        <v>3.3690969516470513E-2</v>
      </c>
      <c r="F3409" s="4">
        <v>3.3690969516470513E-2</v>
      </c>
      <c r="G3409" s="4">
        <v>3.3690969516470513E-2</v>
      </c>
      <c r="H3409" s="4">
        <v>3.3690969516470513E-2</v>
      </c>
      <c r="I3409" s="4">
        <v>3.3690969516470513E-2</v>
      </c>
      <c r="J3409" s="4">
        <v>3.3690969516470513E-2</v>
      </c>
      <c r="K3409" s="4">
        <v>3.3690969516470513E-2</v>
      </c>
      <c r="L3409" s="4">
        <v>3.3690969516470513E-2</v>
      </c>
      <c r="M3409" s="4">
        <v>3.3690969516470513E-2</v>
      </c>
      <c r="N3409" t="s">
        <v>256</v>
      </c>
      <c r="O3409" t="s">
        <v>280</v>
      </c>
      <c r="P3409" t="s">
        <v>415</v>
      </c>
      <c r="Q3409" t="s">
        <v>245</v>
      </c>
      <c r="R3409" t="s">
        <v>588</v>
      </c>
    </row>
    <row r="3410" spans="1:18" x14ac:dyDescent="0.25">
      <c r="A3410" t="s">
        <v>415</v>
      </c>
      <c r="B3410" t="s">
        <v>163</v>
      </c>
      <c r="C3410" s="4">
        <v>1.9542079513263779E-2</v>
      </c>
      <c r="D3410" s="4">
        <v>1.9542079513263779E-2</v>
      </c>
      <c r="E3410" s="4">
        <v>1.9542079513263779E-2</v>
      </c>
      <c r="F3410" s="4">
        <v>1.9542079513263779E-2</v>
      </c>
      <c r="G3410" s="4">
        <v>1.9542079513263779E-2</v>
      </c>
      <c r="H3410" s="4">
        <v>1.9542079513263779E-2</v>
      </c>
      <c r="I3410" s="4">
        <v>1.9542079513263779E-2</v>
      </c>
      <c r="J3410" s="4">
        <v>1.9542079513263779E-2</v>
      </c>
      <c r="K3410" s="4">
        <v>1.9542079513263779E-2</v>
      </c>
      <c r="L3410" s="4">
        <v>1.9542079513263779E-2</v>
      </c>
      <c r="M3410" s="4">
        <v>1.9542079513263779E-2</v>
      </c>
      <c r="N3410" t="s">
        <v>256</v>
      </c>
      <c r="O3410" t="s">
        <v>280</v>
      </c>
      <c r="P3410" t="s">
        <v>415</v>
      </c>
      <c r="Q3410" t="s">
        <v>245</v>
      </c>
    </row>
    <row r="3411" spans="1:18" x14ac:dyDescent="0.25">
      <c r="A3411" t="s">
        <v>415</v>
      </c>
      <c r="B3411" t="s">
        <v>85</v>
      </c>
      <c r="C3411" s="4">
        <v>1.7969866538940921E-2</v>
      </c>
      <c r="D3411" s="4">
        <v>1.7969866538940921E-2</v>
      </c>
      <c r="E3411" s="4">
        <v>1.7969866538940921E-2</v>
      </c>
      <c r="F3411" s="4">
        <v>1.7969866538940921E-2</v>
      </c>
      <c r="G3411" s="4">
        <v>1.7969866538940921E-2</v>
      </c>
      <c r="H3411" s="4">
        <v>1.7969866538940921E-2</v>
      </c>
      <c r="I3411" s="4">
        <v>1.7969866538940921E-2</v>
      </c>
      <c r="J3411" s="4">
        <v>1.7969866538940921E-2</v>
      </c>
      <c r="K3411" s="4">
        <v>1.7969866538940921E-2</v>
      </c>
      <c r="L3411" s="4">
        <v>1.7969866538940921E-2</v>
      </c>
      <c r="M3411" s="4">
        <v>1.7969866538940921E-2</v>
      </c>
      <c r="N3411" t="s">
        <v>256</v>
      </c>
      <c r="O3411" t="s">
        <v>280</v>
      </c>
      <c r="P3411" t="s">
        <v>415</v>
      </c>
      <c r="Q3411" t="s">
        <v>245</v>
      </c>
    </row>
    <row r="3412" spans="1:18" x14ac:dyDescent="0.25">
      <c r="A3412" t="s">
        <v>415</v>
      </c>
      <c r="B3412" t="s">
        <v>147</v>
      </c>
      <c r="C3412" s="4">
        <v>5.4473880708776953E-3</v>
      </c>
      <c r="D3412" s="4">
        <v>5.4473880708776953E-3</v>
      </c>
      <c r="E3412" s="4">
        <v>5.4473880708776953E-3</v>
      </c>
      <c r="F3412" s="4">
        <v>5.4473880708776953E-3</v>
      </c>
      <c r="G3412" s="4">
        <v>5.4473880708776953E-3</v>
      </c>
      <c r="H3412" s="4">
        <v>5.4473880708776953E-3</v>
      </c>
      <c r="I3412" s="4">
        <v>5.4473880708776953E-3</v>
      </c>
      <c r="J3412" s="4">
        <v>5.4473880708776953E-3</v>
      </c>
      <c r="K3412" s="4">
        <v>5.4473880708776953E-3</v>
      </c>
      <c r="L3412" s="4">
        <v>5.4473880708776953E-3</v>
      </c>
      <c r="M3412" s="4">
        <v>5.4473880708776953E-3</v>
      </c>
      <c r="N3412" t="s">
        <v>256</v>
      </c>
      <c r="O3412" t="s">
        <v>280</v>
      </c>
      <c r="P3412" t="s">
        <v>415</v>
      </c>
      <c r="Q3412" t="s">
        <v>245</v>
      </c>
    </row>
    <row r="3413" spans="1:18" x14ac:dyDescent="0.25">
      <c r="A3413" t="s">
        <v>415</v>
      </c>
      <c r="B3413" t="s">
        <v>116</v>
      </c>
      <c r="C3413" s="4">
        <v>4.6807461277511862E-2</v>
      </c>
      <c r="D3413" s="4">
        <v>4.6807461277511862E-2</v>
      </c>
      <c r="E3413" s="4">
        <v>4.6807461277511862E-2</v>
      </c>
      <c r="F3413" s="4">
        <v>4.6807461277511862E-2</v>
      </c>
      <c r="G3413" s="4">
        <v>4.6807461277511862E-2</v>
      </c>
      <c r="H3413" s="4">
        <v>4.6807461277511862E-2</v>
      </c>
      <c r="I3413" s="4">
        <v>4.6807461277511862E-2</v>
      </c>
      <c r="J3413" s="4">
        <v>4.6807461277511862E-2</v>
      </c>
      <c r="K3413" s="4">
        <v>4.6807461277511862E-2</v>
      </c>
      <c r="L3413" s="4">
        <v>4.6807461277511862E-2</v>
      </c>
      <c r="M3413" s="4">
        <v>4.6807461277511862E-2</v>
      </c>
      <c r="N3413" t="s">
        <v>288</v>
      </c>
      <c r="O3413" t="s">
        <v>280</v>
      </c>
      <c r="P3413" t="s">
        <v>415</v>
      </c>
      <c r="Q3413" t="s">
        <v>245</v>
      </c>
    </row>
    <row r="3414" spans="1:18" x14ac:dyDescent="0.25">
      <c r="A3414" t="s">
        <v>415</v>
      </c>
      <c r="B3414" t="s">
        <v>86</v>
      </c>
      <c r="C3414" s="4">
        <v>0.45431891536226598</v>
      </c>
      <c r="D3414" s="4">
        <v>0.45431891536226598</v>
      </c>
      <c r="E3414" s="4">
        <v>0.45431891536226598</v>
      </c>
      <c r="F3414" s="4">
        <v>0.45431891536226598</v>
      </c>
      <c r="G3414" s="4">
        <v>0.45431891536226598</v>
      </c>
      <c r="H3414" s="4">
        <v>0.45431891536226598</v>
      </c>
      <c r="I3414" s="4">
        <v>0.45431891536226598</v>
      </c>
      <c r="J3414" s="4">
        <v>0.45431891536226598</v>
      </c>
      <c r="K3414" s="4">
        <v>0.45431891536226598</v>
      </c>
      <c r="L3414" s="4">
        <v>0.45431891536226598</v>
      </c>
      <c r="M3414" s="4">
        <v>0.45431891536226598</v>
      </c>
      <c r="N3414" t="s">
        <v>256</v>
      </c>
      <c r="O3414" t="s">
        <v>280</v>
      </c>
      <c r="P3414" t="s">
        <v>415</v>
      </c>
      <c r="Q3414" t="s">
        <v>245</v>
      </c>
    </row>
    <row r="3415" spans="1:18" x14ac:dyDescent="0.25">
      <c r="A3415" t="s">
        <v>415</v>
      </c>
      <c r="B3415" t="s">
        <v>154</v>
      </c>
      <c r="C3415" s="4">
        <v>2.1426693285518519E-2</v>
      </c>
      <c r="D3415" s="4">
        <v>2.1426693285518519E-2</v>
      </c>
      <c r="E3415" s="4">
        <v>2.1426693285518519E-2</v>
      </c>
      <c r="F3415" s="4">
        <v>2.1426693285518519E-2</v>
      </c>
      <c r="G3415" s="4">
        <v>2.1426693285518519E-2</v>
      </c>
      <c r="H3415" s="4">
        <v>2.1426693285518519E-2</v>
      </c>
      <c r="I3415" s="4">
        <v>2.1426693285518519E-2</v>
      </c>
      <c r="J3415" s="4">
        <v>2.1426693285518519E-2</v>
      </c>
      <c r="K3415" s="4">
        <v>2.1426693285518519E-2</v>
      </c>
      <c r="L3415" s="4">
        <v>2.1426693285518519E-2</v>
      </c>
      <c r="M3415" s="4">
        <v>2.1426693285518519E-2</v>
      </c>
      <c r="N3415" t="s">
        <v>256</v>
      </c>
      <c r="O3415" t="s">
        <v>280</v>
      </c>
      <c r="P3415" t="s">
        <v>415</v>
      </c>
      <c r="Q3415" t="s">
        <v>245</v>
      </c>
    </row>
    <row r="3416" spans="1:18" x14ac:dyDescent="0.25">
      <c r="A3416" t="s">
        <v>415</v>
      </c>
      <c r="B3416" t="s">
        <v>91</v>
      </c>
      <c r="C3416" s="4">
        <v>1.164645664184074E-2</v>
      </c>
      <c r="D3416" s="4">
        <v>1.164645664184074E-2</v>
      </c>
      <c r="E3416" s="4">
        <v>1.164645664184074E-2</v>
      </c>
      <c r="F3416" s="4">
        <v>1.164645664184074E-2</v>
      </c>
      <c r="G3416" s="4">
        <v>1.164645664184074E-2</v>
      </c>
      <c r="H3416" s="4">
        <v>1.164645664184074E-2</v>
      </c>
      <c r="I3416" s="4">
        <v>1.164645664184074E-2</v>
      </c>
      <c r="J3416" s="4">
        <v>1.164645664184074E-2</v>
      </c>
      <c r="K3416" s="4">
        <v>1.164645664184074E-2</v>
      </c>
      <c r="L3416" s="4">
        <v>1.164645664184074E-2</v>
      </c>
      <c r="M3416" s="4">
        <v>1.164645664184074E-2</v>
      </c>
      <c r="N3416" t="s">
        <v>256</v>
      </c>
      <c r="O3416" t="s">
        <v>280</v>
      </c>
      <c r="P3416" t="s">
        <v>415</v>
      </c>
      <c r="Q3416" t="s">
        <v>245</v>
      </c>
    </row>
    <row r="3417" spans="1:18" x14ac:dyDescent="0.25">
      <c r="A3417" t="s">
        <v>415</v>
      </c>
      <c r="B3417" t="s">
        <v>117</v>
      </c>
      <c r="C3417" s="4">
        <v>1.2775898910633861E-2</v>
      </c>
      <c r="D3417" s="4">
        <v>1.2775898910633861E-2</v>
      </c>
      <c r="E3417" s="4">
        <v>1.2775898910633861E-2</v>
      </c>
      <c r="F3417" s="4">
        <v>1.2775898910633861E-2</v>
      </c>
      <c r="G3417" s="4">
        <v>1.2775898910633861E-2</v>
      </c>
      <c r="H3417" s="4">
        <v>1.2775898910633861E-2</v>
      </c>
      <c r="I3417" s="4">
        <v>1.2775898910633861E-2</v>
      </c>
      <c r="J3417" s="4">
        <v>1.2775898910633861E-2</v>
      </c>
      <c r="K3417" s="4">
        <v>1.2775898910633861E-2</v>
      </c>
      <c r="L3417" s="4">
        <v>1.2775898910633861E-2</v>
      </c>
      <c r="M3417" s="4">
        <v>1.2775898910633861E-2</v>
      </c>
      <c r="N3417" t="s">
        <v>256</v>
      </c>
      <c r="O3417" t="s">
        <v>280</v>
      </c>
      <c r="P3417" t="s">
        <v>415</v>
      </c>
      <c r="Q3417" t="s">
        <v>245</v>
      </c>
    </row>
    <row r="3418" spans="1:18" x14ac:dyDescent="0.25">
      <c r="A3418" t="s">
        <v>415</v>
      </c>
      <c r="B3418" t="s">
        <v>97</v>
      </c>
      <c r="C3418" s="4">
        <v>5.2748195598630962E-2</v>
      </c>
      <c r="D3418" s="4">
        <v>5.2748195598630962E-2</v>
      </c>
      <c r="E3418" s="4">
        <v>5.2748195598630962E-2</v>
      </c>
      <c r="F3418" s="4">
        <v>5.2748195598630962E-2</v>
      </c>
      <c r="G3418" s="4">
        <v>5.2748195598630962E-2</v>
      </c>
      <c r="H3418" s="4">
        <v>5.2748195598630962E-2</v>
      </c>
      <c r="I3418" s="4">
        <v>5.2748195598630962E-2</v>
      </c>
      <c r="J3418" s="4">
        <v>5.2748195598630962E-2</v>
      </c>
      <c r="K3418" s="4">
        <v>5.2748195598630962E-2</v>
      </c>
      <c r="L3418" s="4">
        <v>5.2748195598630962E-2</v>
      </c>
      <c r="M3418" s="4">
        <v>5.2748195598630962E-2</v>
      </c>
      <c r="N3418" t="s">
        <v>256</v>
      </c>
      <c r="O3418" t="s">
        <v>280</v>
      </c>
      <c r="P3418" t="s">
        <v>415</v>
      </c>
      <c r="Q3418" t="s">
        <v>245</v>
      </c>
    </row>
    <row r="3419" spans="1:18" x14ac:dyDescent="0.25">
      <c r="A3419" t="s">
        <v>415</v>
      </c>
      <c r="B3419" t="s">
        <v>99</v>
      </c>
      <c r="C3419" s="4">
        <v>1.0106308093486491E-2</v>
      </c>
      <c r="D3419" s="4">
        <v>1.0106308093486491E-2</v>
      </c>
      <c r="E3419" s="4">
        <v>1.0106308093486491E-2</v>
      </c>
      <c r="F3419" s="4">
        <v>1.0106308093486491E-2</v>
      </c>
      <c r="G3419" s="4">
        <v>1.0106308093486491E-2</v>
      </c>
      <c r="H3419" s="4">
        <v>1.0106308093486491E-2</v>
      </c>
      <c r="I3419" s="4">
        <v>1.0106308093486491E-2</v>
      </c>
      <c r="J3419" s="4">
        <v>1.0106308093486491E-2</v>
      </c>
      <c r="K3419" s="4">
        <v>1.0106308093486491E-2</v>
      </c>
      <c r="L3419" s="4">
        <v>1.0106308093486491E-2</v>
      </c>
      <c r="M3419" s="4">
        <v>1.0106308093486491E-2</v>
      </c>
      <c r="N3419" t="s">
        <v>256</v>
      </c>
      <c r="O3419" t="s">
        <v>280</v>
      </c>
      <c r="P3419" t="s">
        <v>415</v>
      </c>
      <c r="Q3419" t="s">
        <v>245</v>
      </c>
    </row>
    <row r="3420" spans="1:18" x14ac:dyDescent="0.25">
      <c r="A3420" t="s">
        <v>415</v>
      </c>
      <c r="B3420" t="s">
        <v>182</v>
      </c>
      <c r="C3420" s="4">
        <v>1.0255922523898051E-2</v>
      </c>
      <c r="D3420" s="4">
        <v>1.0255922523898051E-2</v>
      </c>
      <c r="E3420" s="4">
        <v>1.0255922523898051E-2</v>
      </c>
      <c r="F3420" s="4">
        <v>1.0255922523898051E-2</v>
      </c>
      <c r="G3420" s="4">
        <v>1.0255922523898051E-2</v>
      </c>
      <c r="H3420" s="4">
        <v>1.0255922523898051E-2</v>
      </c>
      <c r="I3420" s="4">
        <v>1.0255922523898051E-2</v>
      </c>
      <c r="J3420" s="4">
        <v>1.0255922523898051E-2</v>
      </c>
      <c r="K3420" s="4">
        <v>1.0255922523898051E-2</v>
      </c>
      <c r="L3420" s="4">
        <v>1.0255922523898051E-2</v>
      </c>
      <c r="M3420" s="4">
        <v>1.0255922523898051E-2</v>
      </c>
      <c r="N3420" t="s">
        <v>256</v>
      </c>
      <c r="O3420" t="s">
        <v>280</v>
      </c>
      <c r="P3420" t="s">
        <v>415</v>
      </c>
      <c r="Q3420" t="s">
        <v>245</v>
      </c>
    </row>
    <row r="3421" spans="1:18" x14ac:dyDescent="0.25">
      <c r="A3421" t="s">
        <v>415</v>
      </c>
      <c r="B3421" t="s">
        <v>119</v>
      </c>
      <c r="C3421" s="4">
        <v>3.7991988352604603E-2</v>
      </c>
      <c r="D3421" s="4">
        <v>3.7991988352604603E-2</v>
      </c>
      <c r="E3421" s="4">
        <v>3.7991988352604603E-2</v>
      </c>
      <c r="F3421" s="4">
        <v>3.7991988352604603E-2</v>
      </c>
      <c r="G3421" s="4">
        <v>3.7991988352604603E-2</v>
      </c>
      <c r="H3421" s="4">
        <v>3.7991988352604603E-2</v>
      </c>
      <c r="I3421" s="4">
        <v>3.7991988352604603E-2</v>
      </c>
      <c r="J3421" s="4">
        <v>3.7991988352604603E-2</v>
      </c>
      <c r="K3421" s="4">
        <v>3.7991988352604603E-2</v>
      </c>
      <c r="L3421" s="4">
        <v>3.7991988352604603E-2</v>
      </c>
      <c r="M3421" s="4">
        <v>3.7991988352604603E-2</v>
      </c>
      <c r="N3421" t="s">
        <v>256</v>
      </c>
      <c r="O3421" t="s">
        <v>280</v>
      </c>
      <c r="P3421" t="s">
        <v>415</v>
      </c>
      <c r="Q3421" t="s">
        <v>245</v>
      </c>
    </row>
    <row r="3422" spans="1:18" x14ac:dyDescent="0.25">
      <c r="A3422" t="s">
        <v>415</v>
      </c>
      <c r="B3422" t="s">
        <v>102</v>
      </c>
      <c r="C3422" s="4">
        <v>2.3169554718999018E-2</v>
      </c>
      <c r="D3422" s="4">
        <v>2.3169554718999018E-2</v>
      </c>
      <c r="E3422" s="4">
        <v>2.3169554718999018E-2</v>
      </c>
      <c r="F3422" s="4">
        <v>2.3169554718999018E-2</v>
      </c>
      <c r="G3422" s="4">
        <v>2.3169554718999018E-2</v>
      </c>
      <c r="H3422" s="4">
        <v>2.3169554718999018E-2</v>
      </c>
      <c r="I3422" s="4">
        <v>2.3169554718999018E-2</v>
      </c>
      <c r="J3422" s="4">
        <v>2.3169554718999018E-2</v>
      </c>
      <c r="K3422" s="4">
        <v>2.3169554718999018E-2</v>
      </c>
      <c r="L3422" s="4">
        <v>2.3169554718999018E-2</v>
      </c>
      <c r="M3422" s="4">
        <v>2.3169554718999018E-2</v>
      </c>
      <c r="N3422" t="s">
        <v>256</v>
      </c>
      <c r="O3422" t="s">
        <v>280</v>
      </c>
      <c r="P3422" t="s">
        <v>415</v>
      </c>
      <c r="Q3422" t="s">
        <v>245</v>
      </c>
    </row>
    <row r="3423" spans="1:18" x14ac:dyDescent="0.25">
      <c r="A3423" t="s">
        <v>415</v>
      </c>
      <c r="B3423" t="s">
        <v>148</v>
      </c>
      <c r="C3423" s="4">
        <v>7.1842913296882763E-2</v>
      </c>
      <c r="D3423" s="4">
        <v>7.1842913296882763E-2</v>
      </c>
      <c r="E3423" s="4">
        <v>7.1842913296882763E-2</v>
      </c>
      <c r="F3423" s="4">
        <v>7.1842913296882763E-2</v>
      </c>
      <c r="G3423" s="4">
        <v>7.1842913296882763E-2</v>
      </c>
      <c r="H3423" s="4">
        <v>7.1842913296882763E-2</v>
      </c>
      <c r="I3423" s="4">
        <v>7.1842913296882763E-2</v>
      </c>
      <c r="J3423" s="4">
        <v>7.1842913296882763E-2</v>
      </c>
      <c r="K3423" s="4">
        <v>7.1842913296882763E-2</v>
      </c>
      <c r="L3423" s="4">
        <v>7.1842913296882763E-2</v>
      </c>
      <c r="M3423" s="4">
        <v>7.1842913296882763E-2</v>
      </c>
      <c r="N3423" t="s">
        <v>256</v>
      </c>
      <c r="O3423" t="s">
        <v>280</v>
      </c>
      <c r="P3423" t="s">
        <v>415</v>
      </c>
      <c r="Q3423" t="s">
        <v>245</v>
      </c>
    </row>
    <row r="3424" spans="1:18" x14ac:dyDescent="0.25">
      <c r="A3424" t="s">
        <v>415</v>
      </c>
      <c r="B3424" t="s">
        <v>149</v>
      </c>
      <c r="C3424" s="4">
        <v>1.100106105967325E-3</v>
      </c>
      <c r="D3424" s="4">
        <v>1.100106105967325E-3</v>
      </c>
      <c r="E3424" s="4">
        <v>1.100106105967325E-3</v>
      </c>
      <c r="F3424" s="4">
        <v>1.100106105967325E-3</v>
      </c>
      <c r="G3424" s="4">
        <v>1.100106105967325E-3</v>
      </c>
      <c r="H3424" s="4">
        <v>1.100106105967325E-3</v>
      </c>
      <c r="I3424" s="4">
        <v>1.100106105967325E-3</v>
      </c>
      <c r="J3424" s="4">
        <v>1.100106105967325E-3</v>
      </c>
      <c r="K3424" s="4">
        <v>1.100106105967325E-3</v>
      </c>
      <c r="L3424" s="4">
        <v>1.100106105967325E-3</v>
      </c>
      <c r="M3424" s="4">
        <v>1.100106105967325E-3</v>
      </c>
      <c r="N3424" t="s">
        <v>256</v>
      </c>
      <c r="O3424" t="s">
        <v>280</v>
      </c>
      <c r="P3424" t="s">
        <v>415</v>
      </c>
      <c r="Q3424" t="s">
        <v>245</v>
      </c>
    </row>
    <row r="3425" spans="1:17" x14ac:dyDescent="0.25">
      <c r="A3425" t="s">
        <v>415</v>
      </c>
      <c r="B3425" t="s">
        <v>150</v>
      </c>
      <c r="C3425" s="4">
        <v>2.599756081540569E-2</v>
      </c>
      <c r="D3425" s="4">
        <v>2.599756081540569E-2</v>
      </c>
      <c r="E3425" s="4">
        <v>2.599756081540569E-2</v>
      </c>
      <c r="F3425" s="4">
        <v>2.599756081540569E-2</v>
      </c>
      <c r="G3425" s="4">
        <v>2.599756081540569E-2</v>
      </c>
      <c r="H3425" s="4">
        <v>2.599756081540569E-2</v>
      </c>
      <c r="I3425" s="4">
        <v>2.599756081540569E-2</v>
      </c>
      <c r="J3425" s="4">
        <v>2.599756081540569E-2</v>
      </c>
      <c r="K3425" s="4">
        <v>2.599756081540569E-2</v>
      </c>
      <c r="L3425" s="4">
        <v>2.599756081540569E-2</v>
      </c>
      <c r="M3425" s="4">
        <v>2.599756081540569E-2</v>
      </c>
      <c r="N3425" t="s">
        <v>256</v>
      </c>
      <c r="O3425" t="s">
        <v>280</v>
      </c>
      <c r="P3425" t="s">
        <v>415</v>
      </c>
      <c r="Q3425" t="s">
        <v>245</v>
      </c>
    </row>
    <row r="3426" spans="1:17" x14ac:dyDescent="0.25">
      <c r="A3426" t="s">
        <v>415</v>
      </c>
      <c r="B3426" t="s">
        <v>175</v>
      </c>
      <c r="C3426" s="4">
        <v>3.4041830023867018E-3</v>
      </c>
      <c r="D3426" s="4">
        <v>3.4041830023867018E-3</v>
      </c>
      <c r="E3426" s="4">
        <v>3.4041830023867018E-3</v>
      </c>
      <c r="F3426" s="4">
        <v>3.4041830023867018E-3</v>
      </c>
      <c r="G3426" s="4">
        <v>3.4041830023867018E-3</v>
      </c>
      <c r="H3426" s="4">
        <v>3.4041830023867018E-3</v>
      </c>
      <c r="I3426" s="4">
        <v>3.4041830023867018E-3</v>
      </c>
      <c r="J3426" s="4">
        <v>3.4041830023867018E-3</v>
      </c>
      <c r="K3426" s="4">
        <v>3.4041830023867018E-3</v>
      </c>
      <c r="L3426" s="4">
        <v>3.4041830023867018E-3</v>
      </c>
      <c r="M3426" s="4">
        <v>3.4041830023867018E-3</v>
      </c>
      <c r="N3426" t="s">
        <v>256</v>
      </c>
      <c r="O3426" t="s">
        <v>280</v>
      </c>
      <c r="P3426" t="s">
        <v>415</v>
      </c>
      <c r="Q3426" t="s">
        <v>245</v>
      </c>
    </row>
    <row r="3427" spans="1:17" x14ac:dyDescent="0.25">
      <c r="A3427" t="s">
        <v>415</v>
      </c>
      <c r="B3427" t="s">
        <v>130</v>
      </c>
      <c r="C3427" s="4">
        <v>1.8569791068728438E-2</v>
      </c>
      <c r="D3427" s="4">
        <v>1.8569791068728438E-2</v>
      </c>
      <c r="E3427" s="4">
        <v>1.8569791068728438E-2</v>
      </c>
      <c r="F3427" s="4">
        <v>1.8569791068728438E-2</v>
      </c>
      <c r="G3427" s="4">
        <v>1.8569791068728438E-2</v>
      </c>
      <c r="H3427" s="4">
        <v>1.8569791068728438E-2</v>
      </c>
      <c r="I3427" s="4">
        <v>1.8569791068728438E-2</v>
      </c>
      <c r="J3427" s="4">
        <v>1.8569791068728438E-2</v>
      </c>
      <c r="K3427" s="4">
        <v>1.8569791068728438E-2</v>
      </c>
      <c r="L3427" s="4">
        <v>1.8569791068728438E-2</v>
      </c>
      <c r="M3427" s="4">
        <v>1.8569791068728438E-2</v>
      </c>
      <c r="N3427" t="s">
        <v>256</v>
      </c>
      <c r="O3427" t="s">
        <v>280</v>
      </c>
      <c r="P3427" t="s">
        <v>415</v>
      </c>
      <c r="Q3427" t="s">
        <v>245</v>
      </c>
    </row>
    <row r="3428" spans="1:17" x14ac:dyDescent="0.25">
      <c r="A3428" t="s">
        <v>415</v>
      </c>
      <c r="B3428" t="s">
        <v>132</v>
      </c>
      <c r="C3428" s="4">
        <v>1.364027428021451E-2</v>
      </c>
      <c r="D3428" s="4">
        <v>1.364027428021451E-2</v>
      </c>
      <c r="E3428" s="4">
        <v>1.364027428021451E-2</v>
      </c>
      <c r="F3428" s="4">
        <v>1.364027428021451E-2</v>
      </c>
      <c r="G3428" s="4">
        <v>1.364027428021451E-2</v>
      </c>
      <c r="H3428" s="4">
        <v>1.364027428021451E-2</v>
      </c>
      <c r="I3428" s="4">
        <v>1.364027428021451E-2</v>
      </c>
      <c r="J3428" s="4">
        <v>1.364027428021451E-2</v>
      </c>
      <c r="K3428" s="4">
        <v>1.364027428021451E-2</v>
      </c>
      <c r="L3428" s="4">
        <v>1.364027428021451E-2</v>
      </c>
      <c r="M3428" s="4">
        <v>1.364027428021451E-2</v>
      </c>
      <c r="N3428" t="s">
        <v>256</v>
      </c>
      <c r="O3428" t="s">
        <v>280</v>
      </c>
      <c r="P3428" t="s">
        <v>415</v>
      </c>
      <c r="Q3428" t="s">
        <v>245</v>
      </c>
    </row>
    <row r="3429" spans="1:17" x14ac:dyDescent="0.25">
      <c r="A3429" t="s">
        <v>415</v>
      </c>
      <c r="B3429" t="s">
        <v>146</v>
      </c>
      <c r="C3429" s="4">
        <v>2.4078535724156289E-2</v>
      </c>
      <c r="D3429" s="4">
        <v>2.4078535724156289E-2</v>
      </c>
      <c r="E3429" s="4">
        <v>2.4078535724156289E-2</v>
      </c>
      <c r="F3429" s="4">
        <v>2.4078535724156289E-2</v>
      </c>
      <c r="G3429" s="4">
        <v>2.4078535724156289E-2</v>
      </c>
      <c r="H3429" s="4">
        <v>2.4078535724156289E-2</v>
      </c>
      <c r="I3429" s="4">
        <v>2.4078535724156289E-2</v>
      </c>
      <c r="J3429" s="4">
        <v>2.4078535724156289E-2</v>
      </c>
      <c r="K3429" s="4">
        <v>2.4078535724156289E-2</v>
      </c>
      <c r="L3429" s="4">
        <v>2.4078535724156289E-2</v>
      </c>
      <c r="M3429" s="4">
        <v>2.4078535724156289E-2</v>
      </c>
      <c r="N3429" t="s">
        <v>256</v>
      </c>
      <c r="O3429" t="s">
        <v>280</v>
      </c>
      <c r="P3429" t="s">
        <v>415</v>
      </c>
      <c r="Q3429" t="s">
        <v>245</v>
      </c>
    </row>
    <row r="3430" spans="1:17" x14ac:dyDescent="0.25">
      <c r="A3430" t="s">
        <v>415</v>
      </c>
      <c r="B3430" t="s">
        <v>151</v>
      </c>
      <c r="C3430" s="4">
        <v>1.182866354915176E-2</v>
      </c>
      <c r="D3430" s="4">
        <v>1.182866354915176E-2</v>
      </c>
      <c r="E3430" s="4">
        <v>1.182866354915176E-2</v>
      </c>
      <c r="F3430" s="4">
        <v>1.182866354915176E-2</v>
      </c>
      <c r="G3430" s="4">
        <v>1.182866354915176E-2</v>
      </c>
      <c r="H3430" s="4">
        <v>1.182866354915176E-2</v>
      </c>
      <c r="I3430" s="4">
        <v>1.182866354915176E-2</v>
      </c>
      <c r="J3430" s="4">
        <v>1.182866354915176E-2</v>
      </c>
      <c r="K3430" s="4">
        <v>1.182866354915176E-2</v>
      </c>
      <c r="L3430" s="4">
        <v>1.182866354915176E-2</v>
      </c>
      <c r="M3430" s="4">
        <v>1.182866354915176E-2</v>
      </c>
      <c r="N3430" t="s">
        <v>256</v>
      </c>
      <c r="O3430" t="s">
        <v>280</v>
      </c>
      <c r="P3430" t="s">
        <v>415</v>
      </c>
      <c r="Q3430" t="s">
        <v>245</v>
      </c>
    </row>
    <row r="3431" spans="1:17" x14ac:dyDescent="0.25">
      <c r="A3431" t="s">
        <v>415</v>
      </c>
      <c r="B3431" t="s">
        <v>107</v>
      </c>
      <c r="C3431" s="4">
        <v>1.6571998380291782E-2</v>
      </c>
      <c r="D3431" s="4">
        <v>1.6571998380291782E-2</v>
      </c>
      <c r="E3431" s="4">
        <v>1.6571998380291782E-2</v>
      </c>
      <c r="F3431" s="4">
        <v>1.6571998380291782E-2</v>
      </c>
      <c r="G3431" s="4">
        <v>1.6571998380291782E-2</v>
      </c>
      <c r="H3431" s="4">
        <v>1.6571998380291782E-2</v>
      </c>
      <c r="I3431" s="4">
        <v>1.6571998380291782E-2</v>
      </c>
      <c r="J3431" s="4">
        <v>1.6571998380291782E-2</v>
      </c>
      <c r="K3431" s="4">
        <v>1.6571998380291782E-2</v>
      </c>
      <c r="L3431" s="4">
        <v>1.6571998380291782E-2</v>
      </c>
      <c r="M3431" s="4">
        <v>1.6571998380291782E-2</v>
      </c>
      <c r="N3431" t="s">
        <v>256</v>
      </c>
      <c r="O3431" t="s">
        <v>280</v>
      </c>
      <c r="P3431" t="s">
        <v>415</v>
      </c>
      <c r="Q3431" t="s">
        <v>245</v>
      </c>
    </row>
    <row r="3432" spans="1:17" x14ac:dyDescent="0.25">
      <c r="A3432" t="s">
        <v>415</v>
      </c>
      <c r="B3432" t="s">
        <v>121</v>
      </c>
      <c r="C3432" s="4">
        <v>3.7183586381695583E-2</v>
      </c>
      <c r="D3432" s="4">
        <v>3.7183586381695583E-2</v>
      </c>
      <c r="E3432" s="4">
        <v>3.7183586381695583E-2</v>
      </c>
      <c r="F3432" s="4">
        <v>3.7183586381695583E-2</v>
      </c>
      <c r="G3432" s="4">
        <v>3.7183586381695583E-2</v>
      </c>
      <c r="H3432" s="4">
        <v>3.7183586381695583E-2</v>
      </c>
      <c r="I3432" s="4">
        <v>3.7183586381695583E-2</v>
      </c>
      <c r="J3432" s="4">
        <v>3.7183586381695583E-2</v>
      </c>
      <c r="K3432" s="4">
        <v>3.7183586381695583E-2</v>
      </c>
      <c r="L3432" s="4">
        <v>3.7183586381695583E-2</v>
      </c>
      <c r="M3432" s="4">
        <v>3.7183586381695583E-2</v>
      </c>
      <c r="N3432" t="s">
        <v>256</v>
      </c>
      <c r="O3432" t="s">
        <v>280</v>
      </c>
      <c r="P3432" t="s">
        <v>415</v>
      </c>
      <c r="Q3432" t="s">
        <v>245</v>
      </c>
    </row>
    <row r="3433" spans="1:17" x14ac:dyDescent="0.25">
      <c r="A3433" t="s">
        <v>415</v>
      </c>
      <c r="B3433" t="s">
        <v>215</v>
      </c>
      <c r="C3433" s="4">
        <v>4.40306467852362E-4</v>
      </c>
      <c r="D3433" s="4">
        <v>4.40306467852362E-4</v>
      </c>
      <c r="E3433" s="4">
        <v>4.40306467852362E-4</v>
      </c>
      <c r="F3433" s="4">
        <v>4.40306467852362E-4</v>
      </c>
      <c r="G3433" s="4">
        <v>4.40306467852362E-4</v>
      </c>
      <c r="H3433" s="4">
        <v>4.40306467852362E-4</v>
      </c>
      <c r="I3433" s="4">
        <v>4.40306467852362E-4</v>
      </c>
      <c r="J3433" s="4">
        <v>4.40306467852362E-4</v>
      </c>
      <c r="K3433" s="4">
        <v>4.40306467852362E-4</v>
      </c>
      <c r="L3433" s="4">
        <v>4.40306467852362E-4</v>
      </c>
      <c r="M3433" s="4">
        <v>4.40306467852362E-4</v>
      </c>
      <c r="N3433" t="s">
        <v>256</v>
      </c>
      <c r="O3433" t="s">
        <v>280</v>
      </c>
      <c r="P3433" t="s">
        <v>415</v>
      </c>
      <c r="Q3433" t="s">
        <v>245</v>
      </c>
    </row>
    <row r="3434" spans="1:17" x14ac:dyDescent="0.25">
      <c r="A3434" t="s">
        <v>415</v>
      </c>
      <c r="B3434" t="s">
        <v>113</v>
      </c>
      <c r="C3434" s="4">
        <v>1.119174611804092E-2</v>
      </c>
      <c r="D3434" s="4">
        <v>1.119174611804092E-2</v>
      </c>
      <c r="E3434" s="4">
        <v>1.119174611804092E-2</v>
      </c>
      <c r="F3434" s="4">
        <v>1.119174611804092E-2</v>
      </c>
      <c r="G3434" s="4">
        <v>1.119174611804092E-2</v>
      </c>
      <c r="H3434" s="4">
        <v>1.119174611804092E-2</v>
      </c>
      <c r="I3434" s="4">
        <v>1.119174611804092E-2</v>
      </c>
      <c r="J3434" s="4">
        <v>1.119174611804092E-2</v>
      </c>
      <c r="K3434" s="4">
        <v>1.119174611804092E-2</v>
      </c>
      <c r="L3434" s="4">
        <v>1.119174611804092E-2</v>
      </c>
      <c r="M3434" s="4">
        <v>1.119174611804092E-2</v>
      </c>
      <c r="N3434" t="s">
        <v>256</v>
      </c>
      <c r="O3434" t="s">
        <v>280</v>
      </c>
      <c r="P3434" t="s">
        <v>415</v>
      </c>
      <c r="Q3434" t="s">
        <v>245</v>
      </c>
    </row>
    <row r="3435" spans="1:17" x14ac:dyDescent="0.25">
      <c r="A3435" t="s">
        <v>415</v>
      </c>
      <c r="B3435" t="s">
        <v>180</v>
      </c>
      <c r="C3435" s="4">
        <v>5.4464786498300954E-3</v>
      </c>
      <c r="D3435" s="4">
        <v>5.4464786498300954E-3</v>
      </c>
      <c r="E3435" s="4">
        <v>5.4464786498300954E-3</v>
      </c>
      <c r="F3435" s="4">
        <v>5.4464786498300954E-3</v>
      </c>
      <c r="G3435" s="4">
        <v>5.4464786498300954E-3</v>
      </c>
      <c r="H3435" s="4">
        <v>5.4464786498300954E-3</v>
      </c>
      <c r="I3435" s="4">
        <v>5.4464786498300954E-3</v>
      </c>
      <c r="J3435" s="4">
        <v>5.4464786498300954E-3</v>
      </c>
      <c r="K3435" s="4">
        <v>5.4464786498300954E-3</v>
      </c>
      <c r="L3435" s="4">
        <v>5.4464786498300954E-3</v>
      </c>
      <c r="M3435" s="4">
        <v>5.4464786498300954E-3</v>
      </c>
      <c r="N3435" t="s">
        <v>256</v>
      </c>
      <c r="O3435" t="s">
        <v>280</v>
      </c>
      <c r="P3435" t="s">
        <v>415</v>
      </c>
      <c r="Q3435" t="s">
        <v>245</v>
      </c>
    </row>
    <row r="3436" spans="1:17" x14ac:dyDescent="0.25">
      <c r="A3436" t="s">
        <v>415</v>
      </c>
      <c r="B3436" t="s">
        <v>115</v>
      </c>
      <c r="C3436" s="4">
        <v>7.46605343916491E-4</v>
      </c>
      <c r="D3436" s="4">
        <v>7.46605343916491E-4</v>
      </c>
      <c r="E3436" s="4">
        <v>7.46605343916491E-4</v>
      </c>
      <c r="F3436" s="4">
        <v>7.46605343916491E-4</v>
      </c>
      <c r="G3436" s="4">
        <v>7.46605343916491E-4</v>
      </c>
      <c r="H3436" s="4">
        <v>7.46605343916491E-4</v>
      </c>
      <c r="I3436" s="4">
        <v>7.46605343916491E-4</v>
      </c>
      <c r="J3436" s="4">
        <v>7.46605343916491E-4</v>
      </c>
      <c r="K3436" s="4">
        <v>7.46605343916491E-4</v>
      </c>
      <c r="L3436" s="4">
        <v>7.46605343916491E-4</v>
      </c>
      <c r="M3436" s="4">
        <v>7.46605343916491E-4</v>
      </c>
      <c r="N3436" t="s">
        <v>256</v>
      </c>
      <c r="O3436" t="s">
        <v>280</v>
      </c>
      <c r="P3436" t="s">
        <v>415</v>
      </c>
      <c r="Q3436" t="s">
        <v>245</v>
      </c>
    </row>
    <row r="3437" spans="1:17" x14ac:dyDescent="0.25">
      <c r="A3437" t="s">
        <v>592</v>
      </c>
      <c r="B3437" t="s">
        <v>83</v>
      </c>
      <c r="C3437" s="2">
        <v>0.38784187662958464</v>
      </c>
      <c r="D3437" s="2">
        <v>0.38784187662958464</v>
      </c>
      <c r="E3437" s="2">
        <v>0.38784187662958464</v>
      </c>
      <c r="F3437" s="2">
        <v>0.38784187662958464</v>
      </c>
      <c r="G3437" s="2">
        <v>0.38784187662958464</v>
      </c>
      <c r="H3437" s="2">
        <v>0.38784187662958464</v>
      </c>
      <c r="I3437" s="2">
        <v>0.38784187662958464</v>
      </c>
      <c r="J3437" s="2">
        <v>0.38784187662958464</v>
      </c>
      <c r="K3437" s="2">
        <v>0.38784187662958464</v>
      </c>
      <c r="L3437" s="2">
        <v>0.38784187662958464</v>
      </c>
      <c r="M3437" s="2">
        <v>0.38784187662958464</v>
      </c>
      <c r="N3437" t="s">
        <v>307</v>
      </c>
      <c r="O3437" t="s">
        <v>440</v>
      </c>
      <c r="P3437" t="s">
        <v>592</v>
      </c>
      <c r="Q3437" t="s">
        <v>245</v>
      </c>
    </row>
    <row r="3438" spans="1:17" x14ac:dyDescent="0.25">
      <c r="A3438" t="s">
        <v>592</v>
      </c>
      <c r="B3438" t="s">
        <v>85</v>
      </c>
      <c r="C3438" s="2">
        <v>1.6460862425327173E-2</v>
      </c>
      <c r="D3438" s="2">
        <v>1.6460862425327173E-2</v>
      </c>
      <c r="E3438" s="2">
        <v>1.6460862425327173E-2</v>
      </c>
      <c r="F3438" s="2">
        <v>1.6460862425327173E-2</v>
      </c>
      <c r="G3438" s="2">
        <v>1.6460862425327173E-2</v>
      </c>
      <c r="H3438" s="2">
        <v>1.6460862425327173E-2</v>
      </c>
      <c r="I3438" s="2">
        <v>1.6460862425327173E-2</v>
      </c>
      <c r="J3438" s="2">
        <v>1.6460862425327173E-2</v>
      </c>
      <c r="K3438" s="2">
        <v>1.6460862425327173E-2</v>
      </c>
      <c r="L3438" s="2">
        <v>1.6460862425327173E-2</v>
      </c>
      <c r="M3438" s="2">
        <v>1.6460862425327173E-2</v>
      </c>
      <c r="N3438" t="s">
        <v>256</v>
      </c>
      <c r="O3438" t="s">
        <v>440</v>
      </c>
      <c r="P3438" t="s">
        <v>592</v>
      </c>
      <c r="Q3438" t="s">
        <v>245</v>
      </c>
    </row>
    <row r="3439" spans="1:17" x14ac:dyDescent="0.25">
      <c r="A3439" t="s">
        <v>592</v>
      </c>
      <c r="B3439" t="s">
        <v>86</v>
      </c>
      <c r="C3439" s="2">
        <v>3.2677256596812851E-2</v>
      </c>
      <c r="D3439" s="2">
        <v>3.2677256596812851E-2</v>
      </c>
      <c r="E3439" s="2">
        <v>3.2677256596812851E-2</v>
      </c>
      <c r="F3439" s="2">
        <v>3.2677256596812851E-2</v>
      </c>
      <c r="G3439" s="2">
        <v>3.2677256596812851E-2</v>
      </c>
      <c r="H3439" s="2">
        <v>3.2677256596812851E-2</v>
      </c>
      <c r="I3439" s="2">
        <v>3.2677256596812851E-2</v>
      </c>
      <c r="J3439" s="2">
        <v>3.2677256596812851E-2</v>
      </c>
      <c r="K3439" s="2">
        <v>3.2677256596812851E-2</v>
      </c>
      <c r="L3439" s="2">
        <v>3.2677256596812851E-2</v>
      </c>
      <c r="M3439" s="2">
        <v>3.2677256596812851E-2</v>
      </c>
      <c r="N3439" t="s">
        <v>256</v>
      </c>
      <c r="O3439" t="s">
        <v>440</v>
      </c>
      <c r="P3439" t="s">
        <v>592</v>
      </c>
      <c r="Q3439" t="s">
        <v>245</v>
      </c>
    </row>
    <row r="3440" spans="1:17" x14ac:dyDescent="0.25">
      <c r="A3440" t="s">
        <v>592</v>
      </c>
      <c r="B3440" t="s">
        <v>236</v>
      </c>
      <c r="C3440" s="2">
        <v>6.2404596263938362E-4</v>
      </c>
      <c r="D3440" s="2">
        <v>6.2404596263938362E-4</v>
      </c>
      <c r="E3440" s="2">
        <v>6.2404596263938362E-4</v>
      </c>
      <c r="F3440" s="2">
        <v>6.2404596263938362E-4</v>
      </c>
      <c r="G3440" s="2">
        <v>6.2404596263938362E-4</v>
      </c>
      <c r="H3440" s="2">
        <v>6.2404596263938362E-4</v>
      </c>
      <c r="I3440" s="2">
        <v>6.2404596263938362E-4</v>
      </c>
      <c r="J3440" s="2">
        <v>6.2404596263938362E-4</v>
      </c>
      <c r="K3440" s="2">
        <v>6.2404596263938362E-4</v>
      </c>
      <c r="L3440" s="2">
        <v>6.2404596263938362E-4</v>
      </c>
      <c r="M3440" s="2">
        <v>6.2404596263938362E-4</v>
      </c>
      <c r="N3440" t="s">
        <v>256</v>
      </c>
      <c r="O3440" t="s">
        <v>440</v>
      </c>
      <c r="P3440" t="s">
        <v>592</v>
      </c>
      <c r="Q3440" t="s">
        <v>245</v>
      </c>
    </row>
    <row r="3441" spans="1:17" x14ac:dyDescent="0.25">
      <c r="A3441" t="s">
        <v>592</v>
      </c>
      <c r="B3441" t="s">
        <v>97</v>
      </c>
      <c r="C3441" s="2">
        <v>8.6399970272660331E-3</v>
      </c>
      <c r="D3441" s="2">
        <v>8.6399970272660331E-3</v>
      </c>
      <c r="E3441" s="2">
        <v>8.6399970272660331E-3</v>
      </c>
      <c r="F3441" s="2">
        <v>8.6399970272660331E-3</v>
      </c>
      <c r="G3441" s="2">
        <v>8.6399970272660331E-3</v>
      </c>
      <c r="H3441" s="2">
        <v>8.6399970272660331E-3</v>
      </c>
      <c r="I3441" s="2">
        <v>8.6399970272660331E-3</v>
      </c>
      <c r="J3441" s="2">
        <v>8.6399970272660331E-3</v>
      </c>
      <c r="K3441" s="2">
        <v>8.6399970272660331E-3</v>
      </c>
      <c r="L3441" s="2">
        <v>8.6399970272660331E-3</v>
      </c>
      <c r="M3441" s="2">
        <v>8.6399970272660331E-3</v>
      </c>
      <c r="N3441" t="s">
        <v>256</v>
      </c>
      <c r="O3441" t="s">
        <v>440</v>
      </c>
      <c r="P3441" t="s">
        <v>592</v>
      </c>
      <c r="Q3441" t="s">
        <v>245</v>
      </c>
    </row>
    <row r="3442" spans="1:17" x14ac:dyDescent="0.25">
      <c r="A3442" t="s">
        <v>592</v>
      </c>
      <c r="B3442" t="s">
        <v>98</v>
      </c>
      <c r="C3442" s="2">
        <v>4.5308116378623302E-2</v>
      </c>
      <c r="D3442" s="2">
        <v>4.5308116378623302E-2</v>
      </c>
      <c r="E3442" s="2">
        <v>4.5308116378623302E-2</v>
      </c>
      <c r="F3442" s="2">
        <v>4.5308116378623302E-2</v>
      </c>
      <c r="G3442" s="2">
        <v>4.5308116378623302E-2</v>
      </c>
      <c r="H3442" s="2">
        <v>4.5308116378623302E-2</v>
      </c>
      <c r="I3442" s="2">
        <v>4.5308116378623302E-2</v>
      </c>
      <c r="J3442" s="2">
        <v>4.5308116378623302E-2</v>
      </c>
      <c r="K3442" s="2">
        <v>4.5308116378623302E-2</v>
      </c>
      <c r="L3442" s="2">
        <v>4.5308116378623302E-2</v>
      </c>
      <c r="M3442" s="2">
        <v>4.5308116378623302E-2</v>
      </c>
      <c r="N3442" t="s">
        <v>256</v>
      </c>
      <c r="O3442" t="s">
        <v>440</v>
      </c>
      <c r="P3442" t="s">
        <v>592</v>
      </c>
      <c r="Q3442" t="s">
        <v>245</v>
      </c>
    </row>
    <row r="3443" spans="1:17" x14ac:dyDescent="0.25">
      <c r="A3443" t="s">
        <v>592</v>
      </c>
      <c r="B3443" t="s">
        <v>102</v>
      </c>
      <c r="C3443" s="2">
        <v>0</v>
      </c>
      <c r="D3443" s="2">
        <v>0</v>
      </c>
      <c r="E3443" s="2">
        <v>0</v>
      </c>
      <c r="F3443" s="2">
        <v>0</v>
      </c>
      <c r="G3443" s="2">
        <v>0</v>
      </c>
      <c r="H3443" s="2">
        <v>0</v>
      </c>
      <c r="I3443" s="2">
        <v>0</v>
      </c>
      <c r="J3443" s="2">
        <v>0</v>
      </c>
      <c r="K3443" s="2">
        <v>0</v>
      </c>
      <c r="L3443" s="2">
        <v>0</v>
      </c>
      <c r="M3443" s="2">
        <v>0</v>
      </c>
      <c r="N3443" t="s">
        <v>256</v>
      </c>
      <c r="O3443" t="s">
        <v>440</v>
      </c>
      <c r="P3443" t="s">
        <v>592</v>
      </c>
      <c r="Q3443" t="s">
        <v>245</v>
      </c>
    </row>
    <row r="3444" spans="1:17" x14ac:dyDescent="0.25">
      <c r="A3444" t="s">
        <v>592</v>
      </c>
      <c r="B3444" t="s">
        <v>198</v>
      </c>
      <c r="C3444" s="2">
        <v>3.3970656638470244E-2</v>
      </c>
      <c r="D3444" s="2">
        <v>3.3970656638470244E-2</v>
      </c>
      <c r="E3444" s="2">
        <v>3.3970656638470244E-2</v>
      </c>
      <c r="F3444" s="2">
        <v>3.3970656638470244E-2</v>
      </c>
      <c r="G3444" s="2">
        <v>3.3970656638470244E-2</v>
      </c>
      <c r="H3444" s="2">
        <v>3.3970656638470244E-2</v>
      </c>
      <c r="I3444" s="2">
        <v>3.3970656638470244E-2</v>
      </c>
      <c r="J3444" s="2">
        <v>3.3970656638470244E-2</v>
      </c>
      <c r="K3444" s="2">
        <v>3.3970656638470244E-2</v>
      </c>
      <c r="L3444" s="2">
        <v>3.3970656638470244E-2</v>
      </c>
      <c r="M3444" s="2">
        <v>3.3970656638470244E-2</v>
      </c>
      <c r="N3444" t="s">
        <v>256</v>
      </c>
      <c r="O3444" t="s">
        <v>440</v>
      </c>
      <c r="P3444" t="s">
        <v>592</v>
      </c>
      <c r="Q3444" t="s">
        <v>245</v>
      </c>
    </row>
    <row r="3445" spans="1:17" x14ac:dyDescent="0.25">
      <c r="A3445" t="s">
        <v>592</v>
      </c>
      <c r="B3445" t="s">
        <v>141</v>
      </c>
      <c r="C3445" s="2">
        <v>1.976265066171037E-2</v>
      </c>
      <c r="D3445" s="2">
        <v>1.976265066171037E-2</v>
      </c>
      <c r="E3445" s="2">
        <v>1.976265066171037E-2</v>
      </c>
      <c r="F3445" s="2">
        <v>1.976265066171037E-2</v>
      </c>
      <c r="G3445" s="2">
        <v>1.976265066171037E-2</v>
      </c>
      <c r="H3445" s="2">
        <v>1.976265066171037E-2</v>
      </c>
      <c r="I3445" s="2">
        <v>1.976265066171037E-2</v>
      </c>
      <c r="J3445" s="2">
        <v>1.976265066171037E-2</v>
      </c>
      <c r="K3445" s="2">
        <v>1.976265066171037E-2</v>
      </c>
      <c r="L3445" s="2">
        <v>1.976265066171037E-2</v>
      </c>
      <c r="M3445" s="2">
        <v>1.976265066171037E-2</v>
      </c>
      <c r="N3445" t="s">
        <v>256</v>
      </c>
      <c r="O3445" t="s">
        <v>440</v>
      </c>
      <c r="P3445" t="s">
        <v>592</v>
      </c>
      <c r="Q3445" t="s">
        <v>245</v>
      </c>
    </row>
    <row r="3446" spans="1:17" x14ac:dyDescent="0.25">
      <c r="A3446" t="s">
        <v>592</v>
      </c>
      <c r="B3446" t="s">
        <v>103</v>
      </c>
      <c r="C3446" s="2">
        <v>6.8907451816122066E-4</v>
      </c>
      <c r="D3446" s="2">
        <v>6.8907451816122066E-4</v>
      </c>
      <c r="E3446" s="2">
        <v>6.8907451816122066E-4</v>
      </c>
      <c r="F3446" s="2">
        <v>6.8907451816122066E-4</v>
      </c>
      <c r="G3446" s="2">
        <v>6.8907451816122066E-4</v>
      </c>
      <c r="H3446" s="2">
        <v>6.8907451816122066E-4</v>
      </c>
      <c r="I3446" s="2">
        <v>6.8907451816122066E-4</v>
      </c>
      <c r="J3446" s="2">
        <v>6.8907451816122066E-4</v>
      </c>
      <c r="K3446" s="2">
        <v>6.8907451816122066E-4</v>
      </c>
      <c r="L3446" s="2">
        <v>6.8907451816122066E-4</v>
      </c>
      <c r="M3446" s="2">
        <v>6.8907451816122066E-4</v>
      </c>
      <c r="N3446" t="s">
        <v>256</v>
      </c>
      <c r="O3446" t="s">
        <v>440</v>
      </c>
      <c r="P3446" t="s">
        <v>592</v>
      </c>
      <c r="Q3446" t="s">
        <v>245</v>
      </c>
    </row>
    <row r="3447" spans="1:17" x14ac:dyDescent="0.25">
      <c r="A3447" t="s">
        <v>592</v>
      </c>
      <c r="B3447" t="s">
        <v>105</v>
      </c>
      <c r="C3447" s="2">
        <v>6.7797077007174009E-2</v>
      </c>
      <c r="D3447" s="2">
        <v>6.7797077007174009E-2</v>
      </c>
      <c r="E3447" s="2">
        <v>6.7797077007174009E-2</v>
      </c>
      <c r="F3447" s="2">
        <v>6.7797077007174009E-2</v>
      </c>
      <c r="G3447" s="2">
        <v>6.7797077007174009E-2</v>
      </c>
      <c r="H3447" s="2">
        <v>6.7797077007174009E-2</v>
      </c>
      <c r="I3447" s="2">
        <v>6.7797077007174009E-2</v>
      </c>
      <c r="J3447" s="2">
        <v>6.7797077007174009E-2</v>
      </c>
      <c r="K3447" s="2">
        <v>6.7797077007174009E-2</v>
      </c>
      <c r="L3447" s="2">
        <v>6.7797077007174009E-2</v>
      </c>
      <c r="M3447" s="2">
        <v>6.7797077007174009E-2</v>
      </c>
      <c r="N3447" t="s">
        <v>256</v>
      </c>
      <c r="O3447" t="s">
        <v>440</v>
      </c>
      <c r="P3447" t="s">
        <v>592</v>
      </c>
      <c r="Q3447" t="s">
        <v>245</v>
      </c>
    </row>
    <row r="3448" spans="1:17" x14ac:dyDescent="0.25">
      <c r="A3448" t="s">
        <v>592</v>
      </c>
      <c r="B3448" t="s">
        <v>203</v>
      </c>
      <c r="C3448" s="2">
        <v>4.6139308441684379E-4</v>
      </c>
      <c r="D3448" s="2">
        <v>4.6139308441684379E-4</v>
      </c>
      <c r="E3448" s="2">
        <v>4.6139308441684379E-4</v>
      </c>
      <c r="F3448" s="2">
        <v>4.6139308441684379E-4</v>
      </c>
      <c r="G3448" s="2">
        <v>4.6139308441684379E-4</v>
      </c>
      <c r="H3448" s="2">
        <v>4.6139308441684379E-4</v>
      </c>
      <c r="I3448" s="2">
        <v>4.6139308441684379E-4</v>
      </c>
      <c r="J3448" s="2">
        <v>4.6139308441684379E-4</v>
      </c>
      <c r="K3448" s="2">
        <v>4.6139308441684379E-4</v>
      </c>
      <c r="L3448" s="2">
        <v>4.6139308441684379E-4</v>
      </c>
      <c r="M3448" s="2">
        <v>4.6139308441684379E-4</v>
      </c>
      <c r="N3448" t="s">
        <v>256</v>
      </c>
      <c r="O3448" t="s">
        <v>440</v>
      </c>
      <c r="P3448" t="s">
        <v>592</v>
      </c>
      <c r="Q3448" t="s">
        <v>245</v>
      </c>
    </row>
    <row r="3449" spans="1:17" x14ac:dyDescent="0.25">
      <c r="A3449" t="s">
        <v>592</v>
      </c>
      <c r="B3449" t="s">
        <v>107</v>
      </c>
      <c r="C3449" s="2">
        <v>5.2805142829762414E-3</v>
      </c>
      <c r="D3449" s="2">
        <v>5.2805142829762414E-3</v>
      </c>
      <c r="E3449" s="2">
        <v>5.2805142829762414E-3</v>
      </c>
      <c r="F3449" s="2">
        <v>5.2805142829762414E-3</v>
      </c>
      <c r="G3449" s="2">
        <v>5.2805142829762414E-3</v>
      </c>
      <c r="H3449" s="2">
        <v>5.2805142829762397E-3</v>
      </c>
      <c r="I3449" s="2">
        <v>5.2805142829762414E-3</v>
      </c>
      <c r="J3449" s="2">
        <v>5.2805142829762414E-3</v>
      </c>
      <c r="K3449" s="2">
        <v>5.2805142829762414E-3</v>
      </c>
      <c r="L3449" s="2">
        <v>5.2805142829762414E-3</v>
      </c>
      <c r="M3449" s="2">
        <v>5.2805142829762414E-3</v>
      </c>
      <c r="N3449" t="s">
        <v>256</v>
      </c>
      <c r="O3449" t="s">
        <v>440</v>
      </c>
      <c r="P3449" t="s">
        <v>592</v>
      </c>
      <c r="Q3449" t="s">
        <v>245</v>
      </c>
    </row>
    <row r="3450" spans="1:17" x14ac:dyDescent="0.25">
      <c r="A3450" t="s">
        <v>592</v>
      </c>
      <c r="B3450" t="s">
        <v>205</v>
      </c>
      <c r="C3450" s="2">
        <v>5.0078832862922085E-2</v>
      </c>
      <c r="D3450" s="2">
        <v>5.0078832862922085E-2</v>
      </c>
      <c r="E3450" s="2">
        <v>5.0078832862922085E-2</v>
      </c>
      <c r="F3450" s="2">
        <v>5.0078832862922085E-2</v>
      </c>
      <c r="G3450" s="2">
        <v>5.0078832862922085E-2</v>
      </c>
      <c r="H3450" s="2">
        <v>5.0078832862922085E-2</v>
      </c>
      <c r="I3450" s="2">
        <v>5.0078832862922085E-2</v>
      </c>
      <c r="J3450" s="2">
        <v>5.0078832862922085E-2</v>
      </c>
      <c r="K3450" s="2">
        <v>5.0078832862922085E-2</v>
      </c>
      <c r="L3450" s="2">
        <v>5.0078832862922085E-2</v>
      </c>
      <c r="M3450" s="2">
        <v>5.0078832862922085E-2</v>
      </c>
      <c r="N3450" t="s">
        <v>256</v>
      </c>
      <c r="O3450" t="s">
        <v>440</v>
      </c>
      <c r="P3450" t="s">
        <v>592</v>
      </c>
      <c r="Q3450" t="s">
        <v>245</v>
      </c>
    </row>
    <row r="3451" spans="1:17" x14ac:dyDescent="0.25">
      <c r="A3451" t="s">
        <v>592</v>
      </c>
      <c r="B3451" t="s">
        <v>109</v>
      </c>
      <c r="C3451" s="2">
        <v>5.4760888860494357E-3</v>
      </c>
      <c r="D3451" s="2">
        <v>5.4760888860494357E-3</v>
      </c>
      <c r="E3451" s="2">
        <v>5.4760888860494357E-3</v>
      </c>
      <c r="F3451" s="2">
        <v>5.4760888860494357E-3</v>
      </c>
      <c r="G3451" s="2">
        <v>5.4760888860494357E-3</v>
      </c>
      <c r="H3451" s="2">
        <v>5.4760888860494357E-3</v>
      </c>
      <c r="I3451" s="2">
        <v>5.4760888860494357E-3</v>
      </c>
      <c r="J3451" s="2">
        <v>5.4760888860494357E-3</v>
      </c>
      <c r="K3451" s="2">
        <v>5.4760888860494357E-3</v>
      </c>
      <c r="L3451" s="2">
        <v>5.4760888860494357E-3</v>
      </c>
      <c r="M3451" s="2">
        <v>5.4760888860494357E-3</v>
      </c>
      <c r="N3451" t="s">
        <v>256</v>
      </c>
      <c r="O3451" t="s">
        <v>440</v>
      </c>
      <c r="P3451" t="s">
        <v>592</v>
      </c>
      <c r="Q3451" t="s">
        <v>245</v>
      </c>
    </row>
    <row r="3452" spans="1:17" x14ac:dyDescent="0.25">
      <c r="A3452" t="s">
        <v>592</v>
      </c>
      <c r="B3452" t="s">
        <v>137</v>
      </c>
      <c r="C3452" s="2">
        <v>0.26842614271795895</v>
      </c>
      <c r="D3452" s="2">
        <v>0.26842614271795895</v>
      </c>
      <c r="E3452" s="2">
        <v>0.26842614271795895</v>
      </c>
      <c r="F3452" s="2">
        <v>0.26842614271795895</v>
      </c>
      <c r="G3452" s="2">
        <v>0.26842614271795895</v>
      </c>
      <c r="H3452" s="2">
        <v>0.26842614271795895</v>
      </c>
      <c r="I3452" s="2">
        <v>0.26842614271795895</v>
      </c>
      <c r="J3452" s="2">
        <v>0.26842614271795895</v>
      </c>
      <c r="K3452" s="2">
        <v>0.26842614271795895</v>
      </c>
      <c r="L3452" s="2">
        <v>0.26842614271795895</v>
      </c>
      <c r="M3452" s="2">
        <v>0.26842614271795895</v>
      </c>
      <c r="N3452" t="s">
        <v>320</v>
      </c>
      <c r="O3452" t="s">
        <v>443</v>
      </c>
      <c r="P3452" t="s">
        <v>592</v>
      </c>
      <c r="Q3452" t="s">
        <v>245</v>
      </c>
    </row>
    <row r="3453" spans="1:17" x14ac:dyDescent="0.25">
      <c r="A3453" t="s">
        <v>592</v>
      </c>
      <c r="B3453" t="s">
        <v>211</v>
      </c>
      <c r="C3453" s="2">
        <v>1.8074352900681024E-3</v>
      </c>
      <c r="D3453" s="2">
        <v>1.8074352900681024E-3</v>
      </c>
      <c r="E3453" s="2">
        <v>1.8074352900681024E-3</v>
      </c>
      <c r="F3453" s="2">
        <v>1.8074352900681024E-3</v>
      </c>
      <c r="G3453" s="2">
        <v>1.8074352900681024E-3</v>
      </c>
      <c r="H3453" s="2">
        <v>1.8074352900681024E-3</v>
      </c>
      <c r="I3453" s="2">
        <v>1.8074352900681024E-3</v>
      </c>
      <c r="J3453" s="2">
        <v>1.8074352900681024E-3</v>
      </c>
      <c r="K3453" s="2">
        <v>1.8074352900681024E-3</v>
      </c>
      <c r="L3453" s="2">
        <v>1.8074352900681024E-3</v>
      </c>
      <c r="M3453" s="2">
        <v>1.8074352900681024E-3</v>
      </c>
      <c r="N3453" t="s">
        <v>256</v>
      </c>
      <c r="O3453" t="s">
        <v>440</v>
      </c>
      <c r="P3453" t="s">
        <v>592</v>
      </c>
      <c r="Q3453" t="s">
        <v>245</v>
      </c>
    </row>
    <row r="3454" spans="1:17" x14ac:dyDescent="0.25">
      <c r="A3454" t="s">
        <v>592</v>
      </c>
      <c r="B3454" t="s">
        <v>113</v>
      </c>
      <c r="C3454" s="2">
        <v>3.4225555537808969E-2</v>
      </c>
      <c r="D3454" s="2">
        <v>3.4225555537808969E-2</v>
      </c>
      <c r="E3454" s="2">
        <v>3.4225555537808969E-2</v>
      </c>
      <c r="F3454" s="2">
        <v>3.4225555537808969E-2</v>
      </c>
      <c r="G3454" s="2">
        <v>3.4225555537808969E-2</v>
      </c>
      <c r="H3454" s="2">
        <v>3.4225555537808969E-2</v>
      </c>
      <c r="I3454" s="2">
        <v>3.4225555537808969E-2</v>
      </c>
      <c r="J3454" s="2">
        <v>3.4225555537808969E-2</v>
      </c>
      <c r="K3454" s="2">
        <v>3.4225555537808969E-2</v>
      </c>
      <c r="L3454" s="2">
        <v>3.4225555537808969E-2</v>
      </c>
      <c r="M3454" s="2">
        <v>3.4225555537808969E-2</v>
      </c>
      <c r="N3454" t="s">
        <v>256</v>
      </c>
      <c r="O3454" t="s">
        <v>440</v>
      </c>
      <c r="P3454" t="s">
        <v>592</v>
      </c>
      <c r="Q3454" t="s">
        <v>245</v>
      </c>
    </row>
    <row r="3455" spans="1:17" x14ac:dyDescent="0.25">
      <c r="A3455" t="s">
        <v>592</v>
      </c>
      <c r="B3455" t="s">
        <v>122</v>
      </c>
      <c r="C3455" s="2">
        <v>1.8353698625403904E-2</v>
      </c>
      <c r="D3455" s="2">
        <v>1.8353698625403904E-2</v>
      </c>
      <c r="E3455" s="2">
        <v>1.8353698625403904E-2</v>
      </c>
      <c r="F3455" s="2">
        <v>1.8353698625403904E-2</v>
      </c>
      <c r="G3455" s="2">
        <v>1.8353698625403904E-2</v>
      </c>
      <c r="H3455" s="2">
        <v>1.8353698625403904E-2</v>
      </c>
      <c r="I3455" s="2">
        <v>1.8353698625403904E-2</v>
      </c>
      <c r="J3455" s="2">
        <v>1.8353698625403904E-2</v>
      </c>
      <c r="K3455" s="2">
        <v>1.8353698625403904E-2</v>
      </c>
      <c r="L3455" s="2">
        <v>1.8353698625403904E-2</v>
      </c>
      <c r="M3455" s="2">
        <v>1.8353698625403904E-2</v>
      </c>
      <c r="N3455" t="s">
        <v>256</v>
      </c>
      <c r="O3455" t="s">
        <v>440</v>
      </c>
      <c r="P3455" t="s">
        <v>592</v>
      </c>
      <c r="Q3455" t="s">
        <v>245</v>
      </c>
    </row>
    <row r="3456" spans="1:17" x14ac:dyDescent="0.25">
      <c r="A3456" t="s">
        <v>592</v>
      </c>
      <c r="B3456" t="s">
        <v>115</v>
      </c>
      <c r="C3456" s="2">
        <v>2.1187248666262697E-3</v>
      </c>
      <c r="D3456" s="2">
        <v>2.1187248666262697E-3</v>
      </c>
      <c r="E3456" s="2">
        <v>2.1187248666262697E-3</v>
      </c>
      <c r="F3456" s="2">
        <v>2.1187248666262697E-3</v>
      </c>
      <c r="G3456" s="2">
        <v>2.1187248666262697E-3</v>
      </c>
      <c r="H3456" s="2">
        <v>2.1187248666262697E-3</v>
      </c>
      <c r="I3456" s="2">
        <v>2.1187248666262697E-3</v>
      </c>
      <c r="J3456" s="2">
        <v>2.1187248666262697E-3</v>
      </c>
      <c r="K3456" s="2">
        <v>2.1187248666262697E-3</v>
      </c>
      <c r="L3456" s="2">
        <v>2.1187248666262697E-3</v>
      </c>
      <c r="M3456" s="2">
        <v>2.1187248666262697E-3</v>
      </c>
      <c r="N3456" t="s">
        <v>256</v>
      </c>
      <c r="O3456" t="s">
        <v>440</v>
      </c>
      <c r="P3456" t="s">
        <v>592</v>
      </c>
      <c r="Q3456" t="s">
        <v>245</v>
      </c>
    </row>
  </sheetData>
  <hyperlinks>
    <hyperlink ref="R3334" r:id="rId1" xr:uid="{3BC6AC4F-74B5-4D89-8404-4288EBDFE76A}"/>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6"/>
  <sheetViews>
    <sheetView workbookViewId="0">
      <selection activeCell="F7" sqref="F7"/>
    </sheetView>
  </sheetViews>
  <sheetFormatPr defaultRowHeight="15" x14ac:dyDescent="0.25"/>
  <cols>
    <col min="2" max="2" width="11.42578125" bestFit="1" customWidth="1"/>
    <col min="3" max="3" width="24" bestFit="1" customWidth="1"/>
    <col min="4" max="4" width="34.140625" bestFit="1" customWidth="1"/>
    <col min="5" max="5" width="5.140625" bestFit="1" customWidth="1"/>
  </cols>
  <sheetData>
    <row r="1" spans="1:6" x14ac:dyDescent="0.25">
      <c r="A1" s="19" t="s">
        <v>539</v>
      </c>
    </row>
    <row r="2" spans="1:6" x14ac:dyDescent="0.25">
      <c r="F2" t="s">
        <v>509</v>
      </c>
    </row>
    <row r="3" spans="1:6" x14ac:dyDescent="0.25">
      <c r="A3" s="9">
        <v>6.1291819337933607E-5</v>
      </c>
      <c r="B3" t="s">
        <v>540</v>
      </c>
      <c r="C3" t="s">
        <v>541</v>
      </c>
      <c r="D3" t="s">
        <v>542</v>
      </c>
      <c r="E3" t="s">
        <v>543</v>
      </c>
      <c r="F3" s="2">
        <f>A3/SUM($A$3:$A$26)</f>
        <v>1.9919841284828529E-2</v>
      </c>
    </row>
    <row r="4" spans="1:6" x14ac:dyDescent="0.25">
      <c r="A4" s="9">
        <v>1.1480055050597E-5</v>
      </c>
      <c r="B4" t="s">
        <v>540</v>
      </c>
      <c r="C4" t="s">
        <v>541</v>
      </c>
      <c r="D4" t="s">
        <v>542</v>
      </c>
      <c r="E4" t="s">
        <v>474</v>
      </c>
      <c r="F4" s="2">
        <f t="shared" ref="F4:F26" si="0">A4/SUM($A$3:$A$26)</f>
        <v>3.731017891444045E-3</v>
      </c>
    </row>
    <row r="5" spans="1:6" x14ac:dyDescent="0.25">
      <c r="A5" s="9">
        <v>2.53534097134373E-5</v>
      </c>
      <c r="B5" t="s">
        <v>540</v>
      </c>
      <c r="C5" t="s">
        <v>541</v>
      </c>
      <c r="D5" t="s">
        <v>542</v>
      </c>
      <c r="E5" t="s">
        <v>435</v>
      </c>
      <c r="F5" s="2">
        <f t="shared" si="0"/>
        <v>8.239858156867166E-3</v>
      </c>
    </row>
    <row r="6" spans="1:6" x14ac:dyDescent="0.25">
      <c r="A6">
        <v>1.17038188354816E-4</v>
      </c>
      <c r="B6" t="s">
        <v>540</v>
      </c>
      <c r="C6" t="s">
        <v>541</v>
      </c>
      <c r="D6" t="s">
        <v>542</v>
      </c>
      <c r="E6" t="s">
        <v>270</v>
      </c>
      <c r="F6" s="2">
        <f t="shared" si="0"/>
        <v>3.8037411215315405E-2</v>
      </c>
    </row>
    <row r="7" spans="1:6" x14ac:dyDescent="0.25">
      <c r="A7" s="13">
        <v>1.7317371178019299E-4</v>
      </c>
      <c r="B7" s="13" t="s">
        <v>540</v>
      </c>
      <c r="C7" s="13" t="s">
        <v>541</v>
      </c>
      <c r="D7" s="13" t="s">
        <v>542</v>
      </c>
      <c r="E7" s="13" t="s">
        <v>254</v>
      </c>
      <c r="F7" s="20">
        <f t="shared" si="0"/>
        <v>5.6281456328563025E-2</v>
      </c>
    </row>
    <row r="8" spans="1:6" x14ac:dyDescent="0.25">
      <c r="A8" s="9">
        <v>1.26475182760815E-5</v>
      </c>
      <c r="B8" t="s">
        <v>540</v>
      </c>
      <c r="C8" t="s">
        <v>541</v>
      </c>
      <c r="D8" t="s">
        <v>542</v>
      </c>
      <c r="E8" t="s">
        <v>517</v>
      </c>
      <c r="F8" s="2">
        <f t="shared" si="0"/>
        <v>4.1104434397265096E-3</v>
      </c>
    </row>
    <row r="9" spans="1:6" x14ac:dyDescent="0.25">
      <c r="A9" s="9">
        <v>4.3877159557790503E-5</v>
      </c>
      <c r="B9" t="s">
        <v>540</v>
      </c>
      <c r="C9" t="s">
        <v>541</v>
      </c>
      <c r="D9" t="s">
        <v>542</v>
      </c>
      <c r="E9" t="s">
        <v>544</v>
      </c>
      <c r="F9" s="2">
        <f t="shared" si="0"/>
        <v>1.426007685628199E-2</v>
      </c>
    </row>
    <row r="10" spans="1:6" x14ac:dyDescent="0.25">
      <c r="A10" s="9">
        <v>3.3875988548075902E-7</v>
      </c>
      <c r="B10" t="s">
        <v>540</v>
      </c>
      <c r="C10" t="s">
        <v>541</v>
      </c>
      <c r="D10" t="s">
        <v>542</v>
      </c>
      <c r="E10" t="s">
        <v>522</v>
      </c>
      <c r="F10" s="2">
        <f t="shared" si="0"/>
        <v>1.1009696278124728E-4</v>
      </c>
    </row>
    <row r="11" spans="1:6" x14ac:dyDescent="0.25">
      <c r="A11" s="9">
        <v>4.2806984934429802E-5</v>
      </c>
      <c r="B11" t="s">
        <v>540</v>
      </c>
      <c r="C11" t="s">
        <v>541</v>
      </c>
      <c r="D11" t="s">
        <v>542</v>
      </c>
      <c r="E11" t="s">
        <v>287</v>
      </c>
      <c r="F11" s="2">
        <f t="shared" si="0"/>
        <v>1.3912270103689761E-2</v>
      </c>
    </row>
    <row r="12" spans="1:6" x14ac:dyDescent="0.25">
      <c r="A12" s="9">
        <v>1.07017462336074E-5</v>
      </c>
      <c r="B12" t="s">
        <v>540</v>
      </c>
      <c r="C12" t="s">
        <v>541</v>
      </c>
      <c r="D12" t="s">
        <v>542</v>
      </c>
      <c r="E12" t="s">
        <v>545</v>
      </c>
      <c r="F12" s="2">
        <f t="shared" si="0"/>
        <v>3.4780675259224233E-3</v>
      </c>
    </row>
    <row r="13" spans="1:6" x14ac:dyDescent="0.25">
      <c r="A13">
        <v>2.12478307038169E-4</v>
      </c>
      <c r="B13" t="s">
        <v>540</v>
      </c>
      <c r="C13" t="s">
        <v>541</v>
      </c>
      <c r="D13" t="s">
        <v>542</v>
      </c>
      <c r="E13" t="s">
        <v>462</v>
      </c>
      <c r="F13" s="2">
        <f t="shared" si="0"/>
        <v>6.9055449787405299E-2</v>
      </c>
    </row>
    <row r="14" spans="1:6" x14ac:dyDescent="0.25">
      <c r="A14">
        <v>1.0516897889572399E-4</v>
      </c>
      <c r="B14" t="s">
        <v>540</v>
      </c>
      <c r="C14" t="s">
        <v>541</v>
      </c>
      <c r="D14" t="s">
        <v>542</v>
      </c>
      <c r="E14" t="s">
        <v>321</v>
      </c>
      <c r="F14" s="2">
        <f t="shared" si="0"/>
        <v>3.4179918141110481E-2</v>
      </c>
    </row>
    <row r="15" spans="1:6" x14ac:dyDescent="0.25">
      <c r="A15" s="9">
        <v>1.7657881285452299E-5</v>
      </c>
      <c r="B15" t="s">
        <v>540</v>
      </c>
      <c r="C15" t="s">
        <v>541</v>
      </c>
      <c r="D15" t="s">
        <v>542</v>
      </c>
      <c r="E15" t="s">
        <v>546</v>
      </c>
      <c r="F15" s="2">
        <f t="shared" si="0"/>
        <v>5.7388114177720278E-3</v>
      </c>
    </row>
    <row r="16" spans="1:6" x14ac:dyDescent="0.25">
      <c r="A16" s="9">
        <v>1.6149907952534799E-5</v>
      </c>
      <c r="B16" t="s">
        <v>540</v>
      </c>
      <c r="C16" t="s">
        <v>541</v>
      </c>
      <c r="D16" t="s">
        <v>542</v>
      </c>
      <c r="E16" t="s">
        <v>286</v>
      </c>
      <c r="F16" s="2">
        <f t="shared" si="0"/>
        <v>5.2487200845738376E-3</v>
      </c>
    </row>
    <row r="17" spans="1:6" x14ac:dyDescent="0.25">
      <c r="A17" s="9">
        <v>7.4657259452141604E-6</v>
      </c>
      <c r="B17" t="s">
        <v>540</v>
      </c>
      <c r="C17" t="s">
        <v>541</v>
      </c>
      <c r="D17" t="s">
        <v>542</v>
      </c>
      <c r="E17" t="s">
        <v>547</v>
      </c>
      <c r="F17" s="2">
        <f t="shared" si="0"/>
        <v>2.4263609321946151E-3</v>
      </c>
    </row>
    <row r="18" spans="1:6" x14ac:dyDescent="0.25">
      <c r="A18" s="9">
        <v>8.8240762126199601E-5</v>
      </c>
      <c r="B18" t="s">
        <v>540</v>
      </c>
      <c r="C18" t="s">
        <v>541</v>
      </c>
      <c r="D18" t="s">
        <v>542</v>
      </c>
      <c r="E18" t="s">
        <v>527</v>
      </c>
      <c r="F18" s="2">
        <f t="shared" si="0"/>
        <v>2.8678247691015023E-2</v>
      </c>
    </row>
    <row r="19" spans="1:6" x14ac:dyDescent="0.25">
      <c r="A19" s="9">
        <v>4.3974448159914198E-5</v>
      </c>
      <c r="B19" t="s">
        <v>540</v>
      </c>
      <c r="C19" t="s">
        <v>541</v>
      </c>
      <c r="D19" t="s">
        <v>542</v>
      </c>
      <c r="E19" t="s">
        <v>490</v>
      </c>
      <c r="F19" s="2">
        <f t="shared" si="0"/>
        <v>1.4291695651972192E-2</v>
      </c>
    </row>
    <row r="20" spans="1:6" x14ac:dyDescent="0.25">
      <c r="A20" s="9">
        <v>1.81890937681625E-5</v>
      </c>
      <c r="B20" t="s">
        <v>540</v>
      </c>
      <c r="C20" t="s">
        <v>541</v>
      </c>
      <c r="D20" t="s">
        <v>542</v>
      </c>
      <c r="E20" t="s">
        <v>548</v>
      </c>
      <c r="F20" s="2">
        <f t="shared" si="0"/>
        <v>5.9114554746528443E-3</v>
      </c>
    </row>
    <row r="21" spans="1:6" x14ac:dyDescent="0.25">
      <c r="A21" s="9">
        <v>4.0763924289831998E-5</v>
      </c>
      <c r="B21" t="s">
        <v>540</v>
      </c>
      <c r="C21" t="s">
        <v>541</v>
      </c>
      <c r="D21" t="s">
        <v>542</v>
      </c>
      <c r="E21" t="s">
        <v>495</v>
      </c>
      <c r="F21" s="2">
        <f t="shared" si="0"/>
        <v>1.324827539419547E-2</v>
      </c>
    </row>
    <row r="22" spans="1:6" x14ac:dyDescent="0.25">
      <c r="A22">
        <v>1.0289707505270499E-3</v>
      </c>
      <c r="B22" t="s">
        <v>540</v>
      </c>
      <c r="C22" t="s">
        <v>541</v>
      </c>
      <c r="D22" t="s">
        <v>542</v>
      </c>
      <c r="E22" t="s">
        <v>256</v>
      </c>
      <c r="F22" s="2">
        <f t="shared" si="0"/>
        <v>0.33441549392129305</v>
      </c>
    </row>
    <row r="23" spans="1:6" x14ac:dyDescent="0.25">
      <c r="A23">
        <v>1.08184925561559E-4</v>
      </c>
      <c r="B23" t="s">
        <v>540</v>
      </c>
      <c r="C23" t="s">
        <v>541</v>
      </c>
      <c r="D23" t="s">
        <v>542</v>
      </c>
      <c r="E23" t="s">
        <v>538</v>
      </c>
      <c r="F23" s="2">
        <f t="shared" si="0"/>
        <v>3.5160100807506867E-2</v>
      </c>
    </row>
    <row r="24" spans="1:6" x14ac:dyDescent="0.25">
      <c r="A24" s="9">
        <v>4.2028676117440102E-5</v>
      </c>
      <c r="B24" t="s">
        <v>540</v>
      </c>
      <c r="C24" t="s">
        <v>541</v>
      </c>
      <c r="D24" t="s">
        <v>542</v>
      </c>
      <c r="E24" t="s">
        <v>500</v>
      </c>
      <c r="F24" s="2">
        <f t="shared" si="0"/>
        <v>1.3659319738168106E-2</v>
      </c>
    </row>
    <row r="25" spans="1:6" x14ac:dyDescent="0.25">
      <c r="A25">
        <v>8.2364530557927902E-4</v>
      </c>
      <c r="B25" t="s">
        <v>540</v>
      </c>
      <c r="C25" t="s">
        <v>541</v>
      </c>
      <c r="D25" t="s">
        <v>542</v>
      </c>
      <c r="E25" t="s">
        <v>276</v>
      </c>
      <c r="F25" s="2">
        <f t="shared" si="0"/>
        <v>0.26768472431326712</v>
      </c>
    </row>
    <row r="26" spans="1:6" x14ac:dyDescent="0.25">
      <c r="A26" s="9">
        <v>2.5295036552163E-5</v>
      </c>
      <c r="B26" t="s">
        <v>540</v>
      </c>
      <c r="C26" t="s">
        <v>541</v>
      </c>
      <c r="D26" t="s">
        <v>542</v>
      </c>
      <c r="E26" t="s">
        <v>467</v>
      </c>
      <c r="F26" s="2">
        <f t="shared" si="0"/>
        <v>8.2208868794530193E-3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80"/>
  <sheetViews>
    <sheetView workbookViewId="0">
      <selection activeCell="F31" sqref="F31"/>
    </sheetView>
  </sheetViews>
  <sheetFormatPr defaultRowHeight="15" x14ac:dyDescent="0.25"/>
  <cols>
    <col min="1" max="1" width="12" bestFit="1" customWidth="1"/>
    <col min="2" max="2" width="12.85546875" bestFit="1" customWidth="1"/>
    <col min="3" max="3" width="25.85546875" bestFit="1" customWidth="1"/>
    <col min="4" max="4" width="41.5703125" bestFit="1" customWidth="1"/>
  </cols>
  <sheetData>
    <row r="1" spans="1:6" x14ac:dyDescent="0.25">
      <c r="A1" s="19" t="s">
        <v>515</v>
      </c>
      <c r="F1" t="s">
        <v>509</v>
      </c>
    </row>
    <row r="2" spans="1:6" x14ac:dyDescent="0.25">
      <c r="A2" s="9">
        <v>5.18422770141076E-6</v>
      </c>
      <c r="B2" t="s">
        <v>470</v>
      </c>
      <c r="C2" t="s">
        <v>471</v>
      </c>
      <c r="D2" t="s">
        <v>472</v>
      </c>
      <c r="E2" s="19" t="s">
        <v>473</v>
      </c>
      <c r="F2" s="2">
        <f t="shared" ref="F2:F47" si="0">A2/$A$49</f>
        <v>2.7700922796744683E-4</v>
      </c>
    </row>
    <row r="3" spans="1:6" x14ac:dyDescent="0.25">
      <c r="A3">
        <v>1.7720990156270999E-4</v>
      </c>
      <c r="B3" t="s">
        <v>470</v>
      </c>
      <c r="C3" t="s">
        <v>471</v>
      </c>
      <c r="D3" t="s">
        <v>472</v>
      </c>
      <c r="E3" s="19" t="s">
        <v>307</v>
      </c>
      <c r="F3" s="2">
        <f t="shared" si="0"/>
        <v>9.4688699739626098E-3</v>
      </c>
    </row>
    <row r="4" spans="1:6" x14ac:dyDescent="0.25">
      <c r="A4" s="9">
        <v>1.72595692845473E-5</v>
      </c>
      <c r="B4" t="s">
        <v>470</v>
      </c>
      <c r="C4" t="s">
        <v>471</v>
      </c>
      <c r="D4" t="s">
        <v>472</v>
      </c>
      <c r="E4" s="19" t="s">
        <v>474</v>
      </c>
      <c r="F4" s="2">
        <f t="shared" si="0"/>
        <v>9.2223186131698228E-4</v>
      </c>
    </row>
    <row r="5" spans="1:6" x14ac:dyDescent="0.25">
      <c r="A5" s="9">
        <v>5.6647808540594301E-5</v>
      </c>
      <c r="B5" t="s">
        <v>470</v>
      </c>
      <c r="C5" t="s">
        <v>471</v>
      </c>
      <c r="D5" t="s">
        <v>472</v>
      </c>
      <c r="E5" s="19" t="s">
        <v>475</v>
      </c>
      <c r="F5" s="2">
        <f t="shared" si="0"/>
        <v>3.0268666064971615E-3</v>
      </c>
    </row>
    <row r="6" spans="1:6" x14ac:dyDescent="0.25">
      <c r="A6" s="9">
        <v>1.46041703514608E-5</v>
      </c>
      <c r="B6" t="s">
        <v>470</v>
      </c>
      <c r="C6" t="s">
        <v>471</v>
      </c>
      <c r="D6" t="s">
        <v>472</v>
      </c>
      <c r="E6" s="19" t="s">
        <v>476</v>
      </c>
      <c r="F6" s="2">
        <f t="shared" si="0"/>
        <v>7.8034573077535776E-4</v>
      </c>
    </row>
    <row r="7" spans="1:6" x14ac:dyDescent="0.25">
      <c r="A7" s="9">
        <v>3.0525200605375901E-6</v>
      </c>
      <c r="B7" t="s">
        <v>470</v>
      </c>
      <c r="C7" t="s">
        <v>471</v>
      </c>
      <c r="D7" t="s">
        <v>472</v>
      </c>
      <c r="E7" s="19" t="s">
        <v>477</v>
      </c>
      <c r="F7" s="2">
        <f t="shared" si="0"/>
        <v>1.6310553355797992E-4</v>
      </c>
    </row>
    <row r="8" spans="1:6" x14ac:dyDescent="0.25">
      <c r="A8" s="9">
        <v>3.9115232251788498E-6</v>
      </c>
      <c r="B8" t="s">
        <v>470</v>
      </c>
      <c r="C8" t="s">
        <v>471</v>
      </c>
      <c r="D8" t="s">
        <v>472</v>
      </c>
      <c r="E8" s="19" t="s">
        <v>478</v>
      </c>
      <c r="F8" s="2">
        <f t="shared" si="0"/>
        <v>2.0900471414260513E-4</v>
      </c>
    </row>
    <row r="9" spans="1:6" x14ac:dyDescent="0.25">
      <c r="A9" s="9">
        <v>9.2987365456018393E-6</v>
      </c>
      <c r="B9" t="s">
        <v>470</v>
      </c>
      <c r="C9" t="s">
        <v>471</v>
      </c>
      <c r="D9" t="s">
        <v>472</v>
      </c>
      <c r="E9" s="19" t="s">
        <v>479</v>
      </c>
      <c r="F9" s="2">
        <f t="shared" si="0"/>
        <v>4.9686008792956728E-4</v>
      </c>
    </row>
    <row r="10" spans="1:6" x14ac:dyDescent="0.25">
      <c r="A10" s="9">
        <v>3.9388285666495101E-5</v>
      </c>
      <c r="B10" t="s">
        <v>470</v>
      </c>
      <c r="C10" t="s">
        <v>471</v>
      </c>
      <c r="D10" t="s">
        <v>472</v>
      </c>
      <c r="E10" s="19" t="s">
        <v>480</v>
      </c>
      <c r="F10" s="2">
        <f t="shared" si="0"/>
        <v>2.1046372250331366E-3</v>
      </c>
    </row>
    <row r="11" spans="1:6" x14ac:dyDescent="0.25">
      <c r="A11">
        <v>1.45139666723171E-4</v>
      </c>
      <c r="B11" t="s">
        <v>470</v>
      </c>
      <c r="C11" t="s">
        <v>471</v>
      </c>
      <c r="D11" t="s">
        <v>472</v>
      </c>
      <c r="E11" s="19" t="s">
        <v>287</v>
      </c>
      <c r="F11" s="2">
        <f t="shared" si="0"/>
        <v>7.7552587081576915E-3</v>
      </c>
    </row>
    <row r="12" spans="1:6" x14ac:dyDescent="0.25">
      <c r="A12" s="9">
        <v>4.7393544756210002E-5</v>
      </c>
      <c r="B12" t="s">
        <v>470</v>
      </c>
      <c r="C12" t="s">
        <v>471</v>
      </c>
      <c r="D12" t="s">
        <v>472</v>
      </c>
      <c r="E12" s="19" t="s">
        <v>346</v>
      </c>
      <c r="F12" s="2">
        <f t="shared" si="0"/>
        <v>2.5323828349564557E-3</v>
      </c>
    </row>
    <row r="13" spans="1:6" x14ac:dyDescent="0.25">
      <c r="A13" s="9">
        <v>1.3282829943002301E-5</v>
      </c>
      <c r="B13" t="s">
        <v>470</v>
      </c>
      <c r="C13" t="s">
        <v>471</v>
      </c>
      <c r="D13" t="s">
        <v>472</v>
      </c>
      <c r="E13" s="19" t="s">
        <v>481</v>
      </c>
      <c r="F13" s="2">
        <f t="shared" si="0"/>
        <v>7.0974244953258452E-4</v>
      </c>
    </row>
    <row r="14" spans="1:6" x14ac:dyDescent="0.25">
      <c r="A14">
        <v>6.9261748437397395E-4</v>
      </c>
      <c r="B14" t="s">
        <v>470</v>
      </c>
      <c r="C14" t="s">
        <v>471</v>
      </c>
      <c r="D14" t="s">
        <v>472</v>
      </c>
      <c r="E14" s="19" t="s">
        <v>321</v>
      </c>
      <c r="F14" s="2">
        <f t="shared" si="0"/>
        <v>3.7008682039752869E-2</v>
      </c>
    </row>
    <row r="15" spans="1:6" x14ac:dyDescent="0.25">
      <c r="A15" s="9">
        <v>1.17138105903893E-5</v>
      </c>
      <c r="B15" t="s">
        <v>470</v>
      </c>
      <c r="C15" t="s">
        <v>471</v>
      </c>
      <c r="D15" t="s">
        <v>472</v>
      </c>
      <c r="E15" s="19" t="s">
        <v>482</v>
      </c>
      <c r="F15" s="2">
        <f t="shared" si="0"/>
        <v>6.2590492067268581E-4</v>
      </c>
    </row>
    <row r="16" spans="1:6" x14ac:dyDescent="0.25">
      <c r="A16" s="9">
        <v>9.2128404451537104E-6</v>
      </c>
      <c r="B16" t="s">
        <v>470</v>
      </c>
      <c r="C16" t="s">
        <v>471</v>
      </c>
      <c r="D16" t="s">
        <v>472</v>
      </c>
      <c r="E16" s="19" t="s">
        <v>483</v>
      </c>
      <c r="F16" s="2">
        <f t="shared" si="0"/>
        <v>4.9227039514580405E-4</v>
      </c>
    </row>
    <row r="17" spans="1:6" x14ac:dyDescent="0.25">
      <c r="A17" s="9">
        <v>1.0511415236791899E-5</v>
      </c>
      <c r="B17" t="s">
        <v>470</v>
      </c>
      <c r="C17" t="s">
        <v>471</v>
      </c>
      <c r="D17" t="s">
        <v>472</v>
      </c>
      <c r="E17" s="19" t="s">
        <v>484</v>
      </c>
      <c r="F17" s="2">
        <f t="shared" si="0"/>
        <v>5.6165723947592381E-4</v>
      </c>
    </row>
    <row r="18" spans="1:6" x14ac:dyDescent="0.25">
      <c r="A18">
        <v>4.3268000244512598E-4</v>
      </c>
      <c r="B18" t="s">
        <v>470</v>
      </c>
      <c r="C18" t="s">
        <v>471</v>
      </c>
      <c r="D18" t="s">
        <v>472</v>
      </c>
      <c r="E18" s="19" t="s">
        <v>485</v>
      </c>
      <c r="F18" s="2">
        <f t="shared" si="0"/>
        <v>2.3119423053439839E-2</v>
      </c>
    </row>
    <row r="19" spans="1:6" x14ac:dyDescent="0.25">
      <c r="A19" s="9">
        <v>8.0480490566565602E-5</v>
      </c>
      <c r="B19" t="s">
        <v>470</v>
      </c>
      <c r="C19" t="s">
        <v>471</v>
      </c>
      <c r="D19" t="s">
        <v>472</v>
      </c>
      <c r="E19" s="19" t="s">
        <v>286</v>
      </c>
      <c r="F19" s="2">
        <f t="shared" si="0"/>
        <v>4.3003200943930384E-3</v>
      </c>
    </row>
    <row r="20" spans="1:6" x14ac:dyDescent="0.25">
      <c r="A20" s="9">
        <v>1.1276019797868099E-5</v>
      </c>
      <c r="B20" t="s">
        <v>470</v>
      </c>
      <c r="C20" t="s">
        <v>471</v>
      </c>
      <c r="D20" t="s">
        <v>472</v>
      </c>
      <c r="E20" s="19" t="s">
        <v>486</v>
      </c>
      <c r="F20" s="2">
        <f t="shared" si="0"/>
        <v>6.0251241238942635E-4</v>
      </c>
    </row>
    <row r="21" spans="1:6" x14ac:dyDescent="0.25">
      <c r="A21" s="9">
        <v>1.1824813465575899E-5</v>
      </c>
      <c r="B21" t="s">
        <v>470</v>
      </c>
      <c r="C21" t="s">
        <v>471</v>
      </c>
      <c r="D21" t="s">
        <v>472</v>
      </c>
      <c r="E21" s="19" t="s">
        <v>487</v>
      </c>
      <c r="F21" s="2">
        <f t="shared" si="0"/>
        <v>6.3183614563590252E-4</v>
      </c>
    </row>
    <row r="22" spans="1:6" x14ac:dyDescent="0.25">
      <c r="A22" s="9">
        <v>1.7643223724858101E-5</v>
      </c>
      <c r="B22" t="s">
        <v>470</v>
      </c>
      <c r="C22" t="s">
        <v>471</v>
      </c>
      <c r="D22" t="s">
        <v>472</v>
      </c>
      <c r="E22" s="19" t="s">
        <v>488</v>
      </c>
      <c r="F22" s="2">
        <f t="shared" si="0"/>
        <v>9.4273169782837965E-4</v>
      </c>
    </row>
    <row r="23" spans="1:6" x14ac:dyDescent="0.25">
      <c r="A23" s="9">
        <v>6.5825194490735502E-6</v>
      </c>
      <c r="B23" t="s">
        <v>470</v>
      </c>
      <c r="C23" t="s">
        <v>471</v>
      </c>
      <c r="D23" t="s">
        <v>472</v>
      </c>
      <c r="E23" s="19" t="s">
        <v>489</v>
      </c>
      <c r="F23" s="2">
        <f t="shared" si="0"/>
        <v>3.5172425589492703E-4</v>
      </c>
    </row>
    <row r="24" spans="1:6" x14ac:dyDescent="0.25">
      <c r="A24">
        <v>1.29926775697629E-4</v>
      </c>
      <c r="B24" t="s">
        <v>470</v>
      </c>
      <c r="C24" t="s">
        <v>471</v>
      </c>
      <c r="D24" t="s">
        <v>472</v>
      </c>
      <c r="E24" s="19" t="s">
        <v>490</v>
      </c>
      <c r="F24" s="2">
        <f t="shared" si="0"/>
        <v>6.9423871599053793E-3</v>
      </c>
    </row>
    <row r="25" spans="1:6" x14ac:dyDescent="0.25">
      <c r="A25" s="9">
        <v>6.0285987427387E-6</v>
      </c>
      <c r="B25" t="s">
        <v>470</v>
      </c>
      <c r="C25" t="s">
        <v>471</v>
      </c>
      <c r="D25" t="s">
        <v>472</v>
      </c>
      <c r="E25" s="19" t="s">
        <v>491</v>
      </c>
      <c r="F25" s="2">
        <f t="shared" si="0"/>
        <v>3.2212656920858711E-4</v>
      </c>
    </row>
    <row r="26" spans="1:6" x14ac:dyDescent="0.25">
      <c r="A26" s="9">
        <v>3.47306156685168E-5</v>
      </c>
      <c r="B26" t="s">
        <v>470</v>
      </c>
      <c r="C26" t="s">
        <v>471</v>
      </c>
      <c r="D26" t="s">
        <v>472</v>
      </c>
      <c r="E26" s="19" t="s">
        <v>492</v>
      </c>
      <c r="F26" s="2">
        <f t="shared" si="0"/>
        <v>1.8557635943637107E-3</v>
      </c>
    </row>
    <row r="27" spans="1:6" x14ac:dyDescent="0.25">
      <c r="A27" s="9">
        <v>2.9171022558906799E-5</v>
      </c>
      <c r="B27" t="s">
        <v>470</v>
      </c>
      <c r="C27" t="s">
        <v>471</v>
      </c>
      <c r="D27" t="s">
        <v>472</v>
      </c>
      <c r="E27" s="19" t="s">
        <v>493</v>
      </c>
      <c r="F27" s="2">
        <f t="shared" si="0"/>
        <v>1.55869743835997E-3</v>
      </c>
    </row>
    <row r="28" spans="1:6" x14ac:dyDescent="0.25">
      <c r="A28" s="9">
        <v>8.0042608558768106E-5</v>
      </c>
      <c r="B28" t="s">
        <v>470</v>
      </c>
      <c r="C28" t="s">
        <v>471</v>
      </c>
      <c r="D28" t="s">
        <v>472</v>
      </c>
      <c r="E28" s="19" t="s">
        <v>465</v>
      </c>
      <c r="F28" s="2">
        <f t="shared" si="0"/>
        <v>4.2769227121970729E-3</v>
      </c>
    </row>
    <row r="29" spans="1:6" x14ac:dyDescent="0.25">
      <c r="A29">
        <v>1.01112698137701E-4</v>
      </c>
      <c r="B29" t="s">
        <v>470</v>
      </c>
      <c r="C29" t="s">
        <v>471</v>
      </c>
      <c r="D29" t="s">
        <v>472</v>
      </c>
      <c r="E29" s="19" t="s">
        <v>494</v>
      </c>
      <c r="F29" s="2">
        <f t="shared" si="0"/>
        <v>5.4027623904729432E-3</v>
      </c>
    </row>
    <row r="30" spans="1:6" x14ac:dyDescent="0.25">
      <c r="A30" s="9">
        <v>1.50080362283606E-6</v>
      </c>
      <c r="B30" t="s">
        <v>470</v>
      </c>
      <c r="C30" t="s">
        <v>471</v>
      </c>
      <c r="D30" t="s">
        <v>472</v>
      </c>
      <c r="E30" s="19" t="s">
        <v>495</v>
      </c>
      <c r="F30" s="2">
        <f t="shared" si="0"/>
        <v>8.0192552649535775E-5</v>
      </c>
    </row>
    <row r="31" spans="1:6" x14ac:dyDescent="0.25">
      <c r="A31" s="13">
        <v>7.9319875498214804E-4</v>
      </c>
      <c r="B31" s="13" t="s">
        <v>470</v>
      </c>
      <c r="C31" s="13" t="s">
        <v>471</v>
      </c>
      <c r="D31" s="13" t="s">
        <v>472</v>
      </c>
      <c r="E31" s="13" t="s">
        <v>312</v>
      </c>
      <c r="F31" s="20">
        <f t="shared" si="0"/>
        <v>4.2383048623144487E-2</v>
      </c>
    </row>
    <row r="32" spans="1:6" x14ac:dyDescent="0.25">
      <c r="A32" s="9">
        <v>3.7406997793524603E-5</v>
      </c>
      <c r="B32" t="s">
        <v>470</v>
      </c>
      <c r="C32" t="s">
        <v>471</v>
      </c>
      <c r="D32" t="s">
        <v>472</v>
      </c>
      <c r="E32" s="19" t="s">
        <v>496</v>
      </c>
      <c r="F32" s="2">
        <f t="shared" si="0"/>
        <v>1.9987709213745474E-3</v>
      </c>
    </row>
    <row r="33" spans="1:9" x14ac:dyDescent="0.25">
      <c r="A33" s="9">
        <v>1.1911292025816901E-5</v>
      </c>
      <c r="B33" t="s">
        <v>470</v>
      </c>
      <c r="C33" t="s">
        <v>471</v>
      </c>
      <c r="D33" t="s">
        <v>472</v>
      </c>
      <c r="E33" s="19" t="s">
        <v>497</v>
      </c>
      <c r="F33" s="2">
        <f t="shared" si="0"/>
        <v>6.3645696103750552E-4</v>
      </c>
    </row>
    <row r="34" spans="1:9" x14ac:dyDescent="0.25">
      <c r="A34" s="9">
        <v>9.12119603817503E-5</v>
      </c>
      <c r="B34" t="s">
        <v>470</v>
      </c>
      <c r="C34" t="s">
        <v>471</v>
      </c>
      <c r="D34" t="s">
        <v>472</v>
      </c>
      <c r="E34" s="19" t="s">
        <v>466</v>
      </c>
      <c r="F34" s="2">
        <f t="shared" si="0"/>
        <v>4.8737355266764851E-3</v>
      </c>
    </row>
    <row r="35" spans="1:9" x14ac:dyDescent="0.25">
      <c r="A35" s="9">
        <v>1.40076939880665E-5</v>
      </c>
      <c r="B35" t="s">
        <v>470</v>
      </c>
      <c r="C35" t="s">
        <v>471</v>
      </c>
      <c r="D35" t="s">
        <v>472</v>
      </c>
      <c r="E35" s="19" t="s">
        <v>498</v>
      </c>
      <c r="F35" s="2">
        <f t="shared" si="0"/>
        <v>7.4847416447055941E-4</v>
      </c>
    </row>
    <row r="36" spans="1:9" x14ac:dyDescent="0.25">
      <c r="A36" s="9">
        <v>1.4112911559887701E-5</v>
      </c>
      <c r="B36" t="s">
        <v>470</v>
      </c>
      <c r="C36" t="s">
        <v>471</v>
      </c>
      <c r="D36" t="s">
        <v>472</v>
      </c>
      <c r="E36" s="19" t="s">
        <v>499</v>
      </c>
      <c r="F36" s="2">
        <f t="shared" si="0"/>
        <v>7.5409626288472993E-4</v>
      </c>
    </row>
    <row r="37" spans="1:9" x14ac:dyDescent="0.25">
      <c r="A37">
        <v>2.1160439942181201E-4</v>
      </c>
      <c r="B37" t="s">
        <v>470</v>
      </c>
      <c r="C37" t="s">
        <v>471</v>
      </c>
      <c r="D37" t="s">
        <v>472</v>
      </c>
      <c r="E37" s="19" t="s">
        <v>500</v>
      </c>
      <c r="F37" s="2">
        <f t="shared" si="0"/>
        <v>1.130667376018233E-2</v>
      </c>
    </row>
    <row r="38" spans="1:9" x14ac:dyDescent="0.25">
      <c r="A38">
        <v>1.82945173998654E-4</v>
      </c>
      <c r="B38" t="s">
        <v>470</v>
      </c>
      <c r="C38" t="s">
        <v>471</v>
      </c>
      <c r="D38" t="s">
        <v>472</v>
      </c>
      <c r="E38" s="19" t="s">
        <v>501</v>
      </c>
      <c r="F38" s="2">
        <f t="shared" si="0"/>
        <v>9.7753232165992115E-3</v>
      </c>
    </row>
    <row r="39" spans="1:9" x14ac:dyDescent="0.25">
      <c r="A39" s="9">
        <v>5.0175760927542703E-5</v>
      </c>
      <c r="B39" t="s">
        <v>470</v>
      </c>
      <c r="C39" t="s">
        <v>471</v>
      </c>
      <c r="D39" t="s">
        <v>472</v>
      </c>
      <c r="E39" s="19" t="s">
        <v>502</v>
      </c>
      <c r="F39" s="2">
        <f t="shared" si="0"/>
        <v>2.6810452005098994E-3</v>
      </c>
    </row>
    <row r="40" spans="1:9" x14ac:dyDescent="0.25">
      <c r="A40">
        <v>1.7676522721266601E-4</v>
      </c>
      <c r="B40" t="s">
        <v>470</v>
      </c>
      <c r="C40" t="s">
        <v>471</v>
      </c>
      <c r="D40" t="s">
        <v>472</v>
      </c>
      <c r="E40" s="19" t="s">
        <v>503</v>
      </c>
      <c r="F40" s="2">
        <f t="shared" si="0"/>
        <v>9.4451096560334621E-3</v>
      </c>
    </row>
    <row r="41" spans="1:9" x14ac:dyDescent="0.25">
      <c r="A41" s="9">
        <v>1.9746046200530898E-6</v>
      </c>
      <c r="B41" t="s">
        <v>470</v>
      </c>
      <c r="C41" t="s">
        <v>471</v>
      </c>
      <c r="D41" t="s">
        <v>472</v>
      </c>
      <c r="E41" s="19" t="s">
        <v>504</v>
      </c>
      <c r="F41" s="2">
        <f t="shared" si="0"/>
        <v>1.0550919690371855E-4</v>
      </c>
    </row>
    <row r="42" spans="1:9" x14ac:dyDescent="0.25">
      <c r="A42" s="13">
        <v>6.18602783723595E-3</v>
      </c>
      <c r="B42" s="13" t="s">
        <v>470</v>
      </c>
      <c r="C42" s="13" t="s">
        <v>471</v>
      </c>
      <c r="D42" s="13" t="s">
        <v>505</v>
      </c>
      <c r="E42" s="13" t="s">
        <v>254</v>
      </c>
      <c r="F42" s="20">
        <f t="shared" si="0"/>
        <v>0.33053848983360717</v>
      </c>
      <c r="G42" s="13"/>
      <c r="H42" s="13"/>
      <c r="I42" s="13"/>
    </row>
    <row r="43" spans="1:9" x14ac:dyDescent="0.25">
      <c r="A43">
        <v>5.8529392716984304E-4</v>
      </c>
      <c r="B43" t="s">
        <v>470</v>
      </c>
      <c r="C43" t="s">
        <v>471</v>
      </c>
      <c r="D43" t="s">
        <v>505</v>
      </c>
      <c r="E43" s="19" t="s">
        <v>506</v>
      </c>
      <c r="F43" s="2">
        <f t="shared" si="0"/>
        <v>3.1274054350512628E-2</v>
      </c>
    </row>
    <row r="44" spans="1:9" x14ac:dyDescent="0.25">
      <c r="A44">
        <v>2.59370328308192E-3</v>
      </c>
      <c r="B44" t="s">
        <v>470</v>
      </c>
      <c r="C44" t="s">
        <v>471</v>
      </c>
      <c r="D44" t="s">
        <v>505</v>
      </c>
      <c r="E44" s="19" t="s">
        <v>333</v>
      </c>
      <c r="F44" s="2">
        <f t="shared" si="0"/>
        <v>0.13858954224322328</v>
      </c>
    </row>
    <row r="45" spans="1:9" x14ac:dyDescent="0.25">
      <c r="A45">
        <v>1.16624055878598E-3</v>
      </c>
      <c r="B45" t="s">
        <v>470</v>
      </c>
      <c r="C45" t="s">
        <v>471</v>
      </c>
      <c r="D45" t="s">
        <v>505</v>
      </c>
      <c r="E45" s="19" t="s">
        <v>507</v>
      </c>
      <c r="F45" s="2">
        <f t="shared" si="0"/>
        <v>6.2315819331337514E-2</v>
      </c>
    </row>
    <row r="46" spans="1:9" x14ac:dyDescent="0.25">
      <c r="A46">
        <v>6.6142635249964699E-4</v>
      </c>
      <c r="B46" t="s">
        <v>470</v>
      </c>
      <c r="C46" t="s">
        <v>471</v>
      </c>
      <c r="D46" t="s">
        <v>505</v>
      </c>
      <c r="E46" s="19" t="s">
        <v>508</v>
      </c>
      <c r="F46" s="2">
        <f t="shared" si="0"/>
        <v>3.5342043948685432E-2</v>
      </c>
    </row>
    <row r="47" spans="1:9" x14ac:dyDescent="0.25">
      <c r="A47">
        <v>3.7375647368713201E-3</v>
      </c>
      <c r="B47" t="s">
        <v>470</v>
      </c>
      <c r="C47" t="s">
        <v>471</v>
      </c>
      <c r="D47" t="s">
        <v>505</v>
      </c>
      <c r="E47" s="19" t="s">
        <v>253</v>
      </c>
      <c r="F47" s="2">
        <f t="shared" si="0"/>
        <v>0.19970957717720145</v>
      </c>
    </row>
    <row r="49" spans="1:6" x14ac:dyDescent="0.25">
      <c r="A49" s="9">
        <f>SUM(A2:A47)</f>
        <v>1.8714999999999975E-2</v>
      </c>
      <c r="F49" s="17">
        <f>SUM(F2:F47)</f>
        <v>1</v>
      </c>
    </row>
    <row r="52" spans="1:6" x14ac:dyDescent="0.25">
      <c r="A52" s="19" t="s">
        <v>533</v>
      </c>
    </row>
    <row r="53" spans="1:6" x14ac:dyDescent="0.25">
      <c r="A53" s="9">
        <v>4.3799850220559902E-5</v>
      </c>
      <c r="B53" t="s">
        <v>470</v>
      </c>
      <c r="C53" t="s">
        <v>471</v>
      </c>
      <c r="D53" t="s">
        <v>472</v>
      </c>
      <c r="E53" t="s">
        <v>452</v>
      </c>
      <c r="F53" s="2">
        <f>A53/$A$80</f>
        <v>6.1024779799131984E-2</v>
      </c>
    </row>
    <row r="54" spans="1:6" x14ac:dyDescent="0.25">
      <c r="A54" s="9">
        <v>7.6172783903909099E-5</v>
      </c>
      <c r="B54" t="s">
        <v>470</v>
      </c>
      <c r="C54" t="s">
        <v>471</v>
      </c>
      <c r="D54" t="s">
        <v>472</v>
      </c>
      <c r="E54" t="s">
        <v>307</v>
      </c>
      <c r="F54" s="2">
        <f t="shared" ref="F54:F78" si="1">A54/$A$80</f>
        <v>0.1061288415603056</v>
      </c>
    </row>
    <row r="55" spans="1:6" x14ac:dyDescent="0.25">
      <c r="A55" s="9">
        <v>3.14703421323186E-6</v>
      </c>
      <c r="B55" t="s">
        <v>470</v>
      </c>
      <c r="C55" t="s">
        <v>471</v>
      </c>
      <c r="D55" t="s">
        <v>472</v>
      </c>
      <c r="E55" t="s">
        <v>516</v>
      </c>
      <c r="F55" s="2">
        <f t="shared" si="1"/>
        <v>4.3846512925439368E-3</v>
      </c>
    </row>
    <row r="56" spans="1:6" x14ac:dyDescent="0.25">
      <c r="A56" s="9">
        <v>2.5074521495186299E-5</v>
      </c>
      <c r="B56" t="s">
        <v>470</v>
      </c>
      <c r="C56" t="s">
        <v>471</v>
      </c>
      <c r="D56" t="s">
        <v>472</v>
      </c>
      <c r="E56" t="s">
        <v>311</v>
      </c>
      <c r="F56" s="2">
        <f t="shared" si="1"/>
        <v>3.4935442589574796E-2</v>
      </c>
    </row>
    <row r="57" spans="1:6" x14ac:dyDescent="0.25">
      <c r="A57" s="9">
        <v>2.44470324239701E-5</v>
      </c>
      <c r="B57" t="s">
        <v>470</v>
      </c>
      <c r="C57" t="s">
        <v>471</v>
      </c>
      <c r="D57" t="s">
        <v>472</v>
      </c>
      <c r="E57" t="s">
        <v>517</v>
      </c>
      <c r="F57" s="2">
        <f t="shared" si="1"/>
        <v>3.4061184294066842E-2</v>
      </c>
    </row>
    <row r="58" spans="1:6" x14ac:dyDescent="0.25">
      <c r="A58" s="9">
        <v>3.9044128958489601E-6</v>
      </c>
      <c r="B58" t="s">
        <v>470</v>
      </c>
      <c r="C58" t="s">
        <v>471</v>
      </c>
      <c r="D58" t="s">
        <v>472</v>
      </c>
      <c r="E58" t="s">
        <v>518</v>
      </c>
      <c r="F58" s="2">
        <f t="shared" si="1"/>
        <v>5.4398801825635158E-3</v>
      </c>
    </row>
    <row r="59" spans="1:6" x14ac:dyDescent="0.25">
      <c r="A59" s="9">
        <v>6.1830163619738697E-6</v>
      </c>
      <c r="B59" t="s">
        <v>470</v>
      </c>
      <c r="C59" t="s">
        <v>471</v>
      </c>
      <c r="D59" t="s">
        <v>472</v>
      </c>
      <c r="E59" t="s">
        <v>519</v>
      </c>
      <c r="F59" s="2">
        <f t="shared" si="1"/>
        <v>8.6145776774088287E-3</v>
      </c>
    </row>
    <row r="60" spans="1:6" x14ac:dyDescent="0.25">
      <c r="A60" s="9">
        <v>2.68887246418778E-7</v>
      </c>
      <c r="B60" t="s">
        <v>470</v>
      </c>
      <c r="C60" t="s">
        <v>471</v>
      </c>
      <c r="D60" t="s">
        <v>472</v>
      </c>
      <c r="E60" t="s">
        <v>520</v>
      </c>
      <c r="F60" s="2">
        <f t="shared" si="1"/>
        <v>3.7463107569711481E-4</v>
      </c>
    </row>
    <row r="61" spans="1:6" x14ac:dyDescent="0.25">
      <c r="A61" s="9">
        <v>5.2463744383394198E-6</v>
      </c>
      <c r="B61" t="s">
        <v>470</v>
      </c>
      <c r="C61" t="s">
        <v>471</v>
      </c>
      <c r="D61" t="s">
        <v>472</v>
      </c>
      <c r="E61" t="s">
        <v>521</v>
      </c>
      <c r="F61" s="2">
        <f t="shared" si="1"/>
        <v>7.3095876636850559E-3</v>
      </c>
    </row>
    <row r="62" spans="1:6" x14ac:dyDescent="0.25">
      <c r="A62" s="9">
        <v>8.2152269524586201E-6</v>
      </c>
      <c r="B62" t="s">
        <v>470</v>
      </c>
      <c r="C62" t="s">
        <v>471</v>
      </c>
      <c r="D62" t="s">
        <v>472</v>
      </c>
      <c r="E62" t="s">
        <v>522</v>
      </c>
      <c r="F62" s="2">
        <f t="shared" si="1"/>
        <v>1.1445984706549363E-2</v>
      </c>
    </row>
    <row r="63" spans="1:6" x14ac:dyDescent="0.25">
      <c r="A63" s="9">
        <v>4.0186373379283E-6</v>
      </c>
      <c r="B63" t="s">
        <v>470</v>
      </c>
      <c r="C63" t="s">
        <v>471</v>
      </c>
      <c r="D63" t="s">
        <v>472</v>
      </c>
      <c r="E63" t="s">
        <v>523</v>
      </c>
      <c r="F63" s="2">
        <f t="shared" si="1"/>
        <v>5.5990250515635109E-3</v>
      </c>
    </row>
    <row r="64" spans="1:6" x14ac:dyDescent="0.25">
      <c r="A64" s="9">
        <v>2.4093194453076801E-6</v>
      </c>
      <c r="B64" t="s">
        <v>470</v>
      </c>
      <c r="C64" t="s">
        <v>471</v>
      </c>
      <c r="D64" t="s">
        <v>472</v>
      </c>
      <c r="E64" t="s">
        <v>524</v>
      </c>
      <c r="F64" s="2">
        <f t="shared" si="1"/>
        <v>3.3568194383151594E-3</v>
      </c>
    </row>
    <row r="65" spans="1:6" x14ac:dyDescent="0.25">
      <c r="A65" s="9">
        <v>2.9209314717589698E-7</v>
      </c>
      <c r="B65" t="s">
        <v>470</v>
      </c>
      <c r="C65" t="s">
        <v>471</v>
      </c>
      <c r="D65" t="s">
        <v>472</v>
      </c>
      <c r="E65" t="s">
        <v>525</v>
      </c>
      <c r="F65" s="2">
        <f t="shared" si="1"/>
        <v>4.0696303520411224E-4</v>
      </c>
    </row>
    <row r="66" spans="1:6" x14ac:dyDescent="0.25">
      <c r="A66" s="9">
        <v>8.1961070003910297E-7</v>
      </c>
      <c r="B66" t="s">
        <v>470</v>
      </c>
      <c r="C66" t="s">
        <v>471</v>
      </c>
      <c r="D66" t="s">
        <v>472</v>
      </c>
      <c r="E66" t="s">
        <v>526</v>
      </c>
      <c r="F66" s="2">
        <f t="shared" si="1"/>
        <v>1.1419345554615759E-3</v>
      </c>
    </row>
    <row r="67" spans="1:6" x14ac:dyDescent="0.25">
      <c r="A67" s="9">
        <v>8.9401039359206195E-5</v>
      </c>
      <c r="B67" t="s">
        <v>470</v>
      </c>
      <c r="C67" t="s">
        <v>471</v>
      </c>
      <c r="D67" t="s">
        <v>472</v>
      </c>
      <c r="E67" t="s">
        <v>527</v>
      </c>
      <c r="F67" s="2">
        <f t="shared" si="1"/>
        <v>0.12455930130437209</v>
      </c>
    </row>
    <row r="68" spans="1:6" x14ac:dyDescent="0.25">
      <c r="A68" s="9">
        <v>1.28184510722252E-6</v>
      </c>
      <c r="B68" t="s">
        <v>470</v>
      </c>
      <c r="C68" t="s">
        <v>471</v>
      </c>
      <c r="D68" t="s">
        <v>472</v>
      </c>
      <c r="E68" t="s">
        <v>463</v>
      </c>
      <c r="F68" s="21">
        <f t="shared" si="1"/>
        <v>1.7859493813549632E-3</v>
      </c>
    </row>
    <row r="69" spans="1:6" x14ac:dyDescent="0.25">
      <c r="A69" s="9">
        <v>1.49287802703928E-5</v>
      </c>
      <c r="B69" t="s">
        <v>470</v>
      </c>
      <c r="C69" t="s">
        <v>471</v>
      </c>
      <c r="D69" t="s">
        <v>472</v>
      </c>
      <c r="E69" t="s">
        <v>492</v>
      </c>
      <c r="F69" s="2">
        <f t="shared" si="1"/>
        <v>2.0799740731595153E-2</v>
      </c>
    </row>
    <row r="70" spans="1:6" x14ac:dyDescent="0.25">
      <c r="A70" s="9">
        <v>3.4650168832006399E-6</v>
      </c>
      <c r="B70" t="s">
        <v>470</v>
      </c>
      <c r="C70" t="s">
        <v>471</v>
      </c>
      <c r="D70" t="s">
        <v>472</v>
      </c>
      <c r="E70" t="s">
        <v>464</v>
      </c>
      <c r="F70" s="2">
        <f t="shared" si="1"/>
        <v>4.8276852827760803E-3</v>
      </c>
    </row>
    <row r="71" spans="1:6" x14ac:dyDescent="0.25">
      <c r="A71" s="9">
        <v>1.80839631852639E-5</v>
      </c>
      <c r="B71" t="s">
        <v>470</v>
      </c>
      <c r="C71" t="s">
        <v>471</v>
      </c>
      <c r="D71" t="s">
        <v>472</v>
      </c>
      <c r="E71" t="s">
        <v>310</v>
      </c>
      <c r="F71" s="2">
        <f t="shared" si="1"/>
        <v>2.5195745321483245E-2</v>
      </c>
    </row>
    <row r="72" spans="1:6" x14ac:dyDescent="0.25">
      <c r="A72" s="9">
        <v>5.5413325308900197E-6</v>
      </c>
      <c r="B72" t="s">
        <v>470</v>
      </c>
      <c r="C72" t="s">
        <v>471</v>
      </c>
      <c r="D72" t="s">
        <v>472</v>
      </c>
      <c r="E72" t="s">
        <v>528</v>
      </c>
      <c r="F72" s="2">
        <f t="shared" si="1"/>
        <v>7.720542325795365E-3</v>
      </c>
    </row>
    <row r="73" spans="1:6" x14ac:dyDescent="0.25">
      <c r="A73" s="13">
        <v>3.4095249093473199E-4</v>
      </c>
      <c r="B73" s="13" t="s">
        <v>470</v>
      </c>
      <c r="C73" s="13" t="s">
        <v>471</v>
      </c>
      <c r="D73" s="13" t="s">
        <v>472</v>
      </c>
      <c r="E73" s="13" t="s">
        <v>312</v>
      </c>
      <c r="F73" s="20">
        <f t="shared" si="1"/>
        <v>0.47503702812871373</v>
      </c>
    </row>
    <row r="74" spans="1:6" x14ac:dyDescent="0.25">
      <c r="A74" s="9">
        <v>1.97631288006483E-6</v>
      </c>
      <c r="B74" t="s">
        <v>470</v>
      </c>
      <c r="C74" t="s">
        <v>471</v>
      </c>
      <c r="D74" t="s">
        <v>472</v>
      </c>
      <c r="E74" t="s">
        <v>529</v>
      </c>
      <c r="F74" s="2">
        <f t="shared" si="1"/>
        <v>2.7535267292656709E-3</v>
      </c>
    </row>
    <row r="75" spans="1:6" x14ac:dyDescent="0.25">
      <c r="A75" s="9">
        <v>3.0586524123255599E-6</v>
      </c>
      <c r="B75" t="s">
        <v>470</v>
      </c>
      <c r="C75" t="s">
        <v>471</v>
      </c>
      <c r="D75" t="s">
        <v>472</v>
      </c>
      <c r="E75" t="s">
        <v>530</v>
      </c>
      <c r="F75" s="2">
        <f t="shared" si="1"/>
        <v>4.2615120600717231E-3</v>
      </c>
    </row>
    <row r="76" spans="1:6" x14ac:dyDescent="0.25">
      <c r="A76" s="9">
        <v>6.4377953129970098E-6</v>
      </c>
      <c r="B76" t="s">
        <v>470</v>
      </c>
      <c r="C76" t="s">
        <v>471</v>
      </c>
      <c r="D76" t="s">
        <v>472</v>
      </c>
      <c r="E76" t="s">
        <v>531</v>
      </c>
      <c r="F76" s="2">
        <f t="shared" si="1"/>
        <v>8.9695521648864764E-3</v>
      </c>
    </row>
    <row r="77" spans="1:6" x14ac:dyDescent="0.25">
      <c r="A77" s="9">
        <v>3.7526432252123002E-6</v>
      </c>
      <c r="B77" t="s">
        <v>470</v>
      </c>
      <c r="C77" t="s">
        <v>471</v>
      </c>
      <c r="D77" t="s">
        <v>472</v>
      </c>
      <c r="E77" t="s">
        <v>532</v>
      </c>
      <c r="F77" s="2">
        <f t="shared" si="1"/>
        <v>5.2284248765715911E-3</v>
      </c>
    </row>
    <row r="78" spans="1:6" x14ac:dyDescent="0.25">
      <c r="A78" s="9">
        <v>2.4860094297782201E-5</v>
      </c>
      <c r="B78" t="s">
        <v>470</v>
      </c>
      <c r="C78" t="s">
        <v>471</v>
      </c>
      <c r="D78" t="s">
        <v>472</v>
      </c>
      <c r="E78" t="s">
        <v>467</v>
      </c>
      <c r="F78" s="2">
        <f t="shared" si="1"/>
        <v>3.4636688771042611E-2</v>
      </c>
    </row>
    <row r="80" spans="1:6" x14ac:dyDescent="0.25">
      <c r="A80" s="9">
        <f>SUM(A53:A78)</f>
        <v>7.1773876718163776E-4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
  <sheetViews>
    <sheetView workbookViewId="0">
      <selection activeCell="G8" sqref="G8"/>
    </sheetView>
  </sheetViews>
  <sheetFormatPr defaultRowHeight="15" x14ac:dyDescent="0.25"/>
  <sheetData>
    <row r="1" spans="1:12" x14ac:dyDescent="0.25">
      <c r="A1" t="s">
        <v>658</v>
      </c>
      <c r="L1" s="26" t="s">
        <v>657</v>
      </c>
    </row>
    <row r="3" spans="1:12" x14ac:dyDescent="0.25">
      <c r="A3" t="s">
        <v>86</v>
      </c>
      <c r="B3">
        <v>0.86399999999999999</v>
      </c>
    </row>
    <row r="4" spans="1:12" x14ac:dyDescent="0.25">
      <c r="A4" t="s">
        <v>103</v>
      </c>
      <c r="B4">
        <v>9.9000000000000005E-2</v>
      </c>
    </row>
    <row r="5" spans="1:12" x14ac:dyDescent="0.25">
      <c r="A5" t="s">
        <v>231</v>
      </c>
      <c r="B5">
        <v>1.6E-2</v>
      </c>
    </row>
    <row r="6" spans="1:12" x14ac:dyDescent="0.25">
      <c r="A6" t="s">
        <v>97</v>
      </c>
      <c r="B6">
        <v>2.1000000000000001E-2</v>
      </c>
    </row>
  </sheetData>
  <hyperlinks>
    <hyperlink ref="L1" r:id="rId1" xr:uid="{00000000-0004-0000-0B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0"/>
  <sheetViews>
    <sheetView zoomScale="70" zoomScaleNormal="70" workbookViewId="0">
      <selection activeCell="B18" sqref="B18"/>
    </sheetView>
  </sheetViews>
  <sheetFormatPr defaultRowHeight="15" x14ac:dyDescent="0.25"/>
  <cols>
    <col min="1" max="1" width="30.28515625" customWidth="1"/>
    <col min="2" max="2" width="11.7109375" bestFit="1" customWidth="1"/>
    <col min="10" max="10" width="11.5703125" bestFit="1" customWidth="1"/>
  </cols>
  <sheetData>
    <row r="1" spans="1:18" x14ac:dyDescent="0.25">
      <c r="A1" s="19" t="s">
        <v>0</v>
      </c>
      <c r="B1" s="19" t="s">
        <v>754</v>
      </c>
      <c r="C1" s="19" t="s">
        <v>241</v>
      </c>
    </row>
    <row r="2" spans="1:18" x14ac:dyDescent="0.25">
      <c r="A2" t="s">
        <v>755</v>
      </c>
      <c r="B2" t="s">
        <v>245</v>
      </c>
    </row>
    <row r="3" spans="1:18" x14ac:dyDescent="0.25">
      <c r="A3" t="s">
        <v>599</v>
      </c>
      <c r="B3" t="s">
        <v>245</v>
      </c>
    </row>
    <row r="4" spans="1:18" x14ac:dyDescent="0.25">
      <c r="A4" t="s">
        <v>14</v>
      </c>
      <c r="B4" t="s">
        <v>245</v>
      </c>
      <c r="C4" t="s">
        <v>761</v>
      </c>
    </row>
    <row r="5" spans="1:18" x14ac:dyDescent="0.25">
      <c r="A5" t="s">
        <v>756</v>
      </c>
      <c r="B5" t="s">
        <v>245</v>
      </c>
      <c r="C5" t="s">
        <v>757</v>
      </c>
    </row>
    <row r="6" spans="1:18" x14ac:dyDescent="0.25">
      <c r="A6" t="s">
        <v>598</v>
      </c>
      <c r="B6" t="s">
        <v>245</v>
      </c>
    </row>
    <row r="7" spans="1:18" x14ac:dyDescent="0.25">
      <c r="A7" t="s">
        <v>749</v>
      </c>
      <c r="B7" t="s">
        <v>245</v>
      </c>
    </row>
    <row r="8" spans="1:18" x14ac:dyDescent="0.25">
      <c r="A8" t="s">
        <v>600</v>
      </c>
      <c r="B8" t="s">
        <v>245</v>
      </c>
    </row>
    <row r="9" spans="1:18" x14ac:dyDescent="0.25">
      <c r="A9" t="s">
        <v>759</v>
      </c>
      <c r="B9" t="s">
        <v>245</v>
      </c>
    </row>
    <row r="10" spans="1:18" x14ac:dyDescent="0.25">
      <c r="A10" t="s">
        <v>19</v>
      </c>
      <c r="B10" t="s">
        <v>245</v>
      </c>
    </row>
    <row r="11" spans="1:18" x14ac:dyDescent="0.25">
      <c r="A11" t="s">
        <v>604</v>
      </c>
      <c r="B11" t="s">
        <v>245</v>
      </c>
      <c r="R11" s="9"/>
    </row>
    <row r="12" spans="1:18" x14ac:dyDescent="0.25">
      <c r="A12" s="15" t="s">
        <v>605</v>
      </c>
      <c r="B12" t="s">
        <v>245</v>
      </c>
      <c r="C12" t="s">
        <v>781</v>
      </c>
      <c r="J12" s="9"/>
    </row>
    <row r="13" spans="1:18" x14ac:dyDescent="0.25">
      <c r="A13" t="s">
        <v>372</v>
      </c>
      <c r="B13" t="s">
        <v>245</v>
      </c>
    </row>
    <row r="14" spans="1:18" x14ac:dyDescent="0.25">
      <c r="A14" t="s">
        <v>26</v>
      </c>
      <c r="B14" t="s">
        <v>245</v>
      </c>
      <c r="J14" s="9"/>
    </row>
    <row r="15" spans="1:18" x14ac:dyDescent="0.25">
      <c r="A15" t="s">
        <v>610</v>
      </c>
      <c r="B15" t="s">
        <v>245</v>
      </c>
      <c r="J15" s="9"/>
      <c r="R15" s="9"/>
    </row>
    <row r="16" spans="1:18" x14ac:dyDescent="0.25">
      <c r="A16" t="s">
        <v>565</v>
      </c>
      <c r="B16" t="s">
        <v>245</v>
      </c>
      <c r="J16" s="9"/>
    </row>
    <row r="17" spans="1:12" x14ac:dyDescent="0.25">
      <c r="A17" s="15" t="s">
        <v>611</v>
      </c>
      <c r="B17" t="s">
        <v>245</v>
      </c>
      <c r="C17" t="s">
        <v>787</v>
      </c>
    </row>
    <row r="18" spans="1:12" x14ac:dyDescent="0.25">
      <c r="A18" t="s">
        <v>613</v>
      </c>
      <c r="B18" t="s">
        <v>245</v>
      </c>
    </row>
    <row r="19" spans="1:12" x14ac:dyDescent="0.25">
      <c r="A19" t="s">
        <v>614</v>
      </c>
      <c r="B19" t="s">
        <v>245</v>
      </c>
      <c r="J19" s="9"/>
    </row>
    <row r="20" spans="1:12" x14ac:dyDescent="0.25">
      <c r="A20" t="s">
        <v>651</v>
      </c>
      <c r="B20" t="s">
        <v>245</v>
      </c>
      <c r="J20" s="9"/>
    </row>
    <row r="21" spans="1:12" x14ac:dyDescent="0.25">
      <c r="A21" t="s">
        <v>616</v>
      </c>
      <c r="B21" t="s">
        <v>245</v>
      </c>
      <c r="J21" s="9"/>
    </row>
    <row r="22" spans="1:12" x14ac:dyDescent="0.25">
      <c r="A22" t="s">
        <v>617</v>
      </c>
      <c r="B22" t="s">
        <v>245</v>
      </c>
      <c r="C22" t="s">
        <v>772</v>
      </c>
      <c r="J22" s="9"/>
    </row>
    <row r="23" spans="1:12" x14ac:dyDescent="0.25">
      <c r="A23" t="s">
        <v>618</v>
      </c>
      <c r="B23" t="s">
        <v>245</v>
      </c>
    </row>
    <row r="24" spans="1:12" x14ac:dyDescent="0.25">
      <c r="A24" t="s">
        <v>619</v>
      </c>
      <c r="B24" t="s">
        <v>245</v>
      </c>
    </row>
    <row r="25" spans="1:12" x14ac:dyDescent="0.25">
      <c r="A25" t="s">
        <v>373</v>
      </c>
      <c r="B25" t="s">
        <v>245</v>
      </c>
      <c r="J25" s="9"/>
    </row>
    <row r="26" spans="1:12" x14ac:dyDescent="0.25">
      <c r="A26" t="s">
        <v>621</v>
      </c>
      <c r="B26" t="s">
        <v>245</v>
      </c>
      <c r="C26" t="s">
        <v>768</v>
      </c>
      <c r="J26" s="9"/>
      <c r="L26" s="9"/>
    </row>
    <row r="27" spans="1:12" x14ac:dyDescent="0.25">
      <c r="A27" t="s">
        <v>61</v>
      </c>
      <c r="B27" t="s">
        <v>245</v>
      </c>
      <c r="J27" s="9"/>
    </row>
    <row r="28" spans="1:12" x14ac:dyDescent="0.25">
      <c r="A28" t="s">
        <v>624</v>
      </c>
      <c r="B28" t="s">
        <v>245</v>
      </c>
      <c r="J28" s="9"/>
    </row>
    <row r="29" spans="1:12" x14ac:dyDescent="0.25">
      <c r="A29" t="s">
        <v>623</v>
      </c>
      <c r="B29" t="s">
        <v>245</v>
      </c>
      <c r="J29" s="10"/>
    </row>
    <row r="30" spans="1:12" x14ac:dyDescent="0.25">
      <c r="A30" t="s">
        <v>625</v>
      </c>
      <c r="B30" t="s">
        <v>245</v>
      </c>
    </row>
    <row r="31" spans="1:12" x14ac:dyDescent="0.25">
      <c r="A31" t="s">
        <v>763</v>
      </c>
      <c r="B31" t="s">
        <v>245</v>
      </c>
      <c r="J31" s="9"/>
    </row>
    <row r="32" spans="1:12" x14ac:dyDescent="0.25">
      <c r="A32" t="s">
        <v>764</v>
      </c>
      <c r="B32" t="s">
        <v>245</v>
      </c>
      <c r="J32" s="9"/>
    </row>
    <row r="33" spans="1:25" x14ac:dyDescent="0.25">
      <c r="A33" t="s">
        <v>66</v>
      </c>
      <c r="B33" t="s">
        <v>245</v>
      </c>
      <c r="J33" s="9"/>
    </row>
    <row r="34" spans="1:25" x14ac:dyDescent="0.25">
      <c r="A34" t="s">
        <v>574</v>
      </c>
      <c r="B34" t="s">
        <v>245</v>
      </c>
      <c r="J34" s="9"/>
    </row>
    <row r="35" spans="1:25" x14ac:dyDescent="0.25">
      <c r="A35" t="s">
        <v>765</v>
      </c>
      <c r="B35" t="s">
        <v>245</v>
      </c>
    </row>
    <row r="36" spans="1:25" x14ac:dyDescent="0.25">
      <c r="A36" t="s">
        <v>766</v>
      </c>
      <c r="B36" t="s">
        <v>245</v>
      </c>
    </row>
    <row r="37" spans="1:25" x14ac:dyDescent="0.25">
      <c r="A37" t="s">
        <v>575</v>
      </c>
      <c r="B37" t="s">
        <v>245</v>
      </c>
      <c r="J37" s="9"/>
    </row>
    <row r="38" spans="1:25" x14ac:dyDescent="0.25">
      <c r="A38" t="s">
        <v>635</v>
      </c>
      <c r="B38" t="s">
        <v>245</v>
      </c>
      <c r="J38" s="9"/>
    </row>
    <row r="39" spans="1:25" x14ac:dyDescent="0.25">
      <c r="A39" t="s">
        <v>634</v>
      </c>
      <c r="B39" t="s">
        <v>245</v>
      </c>
      <c r="J39" s="9"/>
    </row>
    <row r="40" spans="1:25" x14ac:dyDescent="0.25">
      <c r="A40" t="s">
        <v>622</v>
      </c>
      <c r="B40" t="s">
        <v>245</v>
      </c>
      <c r="J40" s="9"/>
    </row>
    <row r="41" spans="1:25" x14ac:dyDescent="0.25">
      <c r="A41" t="s">
        <v>636</v>
      </c>
      <c r="B41" t="s">
        <v>245</v>
      </c>
      <c r="O41" s="18" t="s">
        <v>771</v>
      </c>
      <c r="P41" s="18"/>
      <c r="Q41" s="18"/>
      <c r="R41" s="18"/>
      <c r="S41" s="18"/>
      <c r="T41" s="18"/>
      <c r="U41" s="18"/>
      <c r="V41" s="18"/>
      <c r="W41" s="18"/>
      <c r="X41" s="18"/>
      <c r="Y41" s="18"/>
    </row>
    <row r="42" spans="1:25" x14ac:dyDescent="0.25">
      <c r="A42" t="s">
        <v>637</v>
      </c>
      <c r="B42" t="s">
        <v>245</v>
      </c>
    </row>
    <row r="43" spans="1:25" x14ac:dyDescent="0.25">
      <c r="A43" t="s">
        <v>639</v>
      </c>
      <c r="B43" t="s">
        <v>245</v>
      </c>
      <c r="J43" s="9"/>
    </row>
    <row r="44" spans="1:25" x14ac:dyDescent="0.25">
      <c r="A44" t="s">
        <v>640</v>
      </c>
      <c r="B44" t="s">
        <v>245</v>
      </c>
      <c r="J44" s="9"/>
    </row>
    <row r="45" spans="1:25" x14ac:dyDescent="0.25">
      <c r="A45" t="s">
        <v>641</v>
      </c>
      <c r="B45" t="s">
        <v>245</v>
      </c>
      <c r="J45" s="9"/>
    </row>
    <row r="46" spans="1:25" x14ac:dyDescent="0.25">
      <c r="A46" t="s">
        <v>79</v>
      </c>
      <c r="B46" t="s">
        <v>245</v>
      </c>
      <c r="J46" s="9"/>
    </row>
    <row r="47" spans="1:25" x14ac:dyDescent="0.25">
      <c r="A47" t="s">
        <v>642</v>
      </c>
      <c r="B47" t="s">
        <v>245</v>
      </c>
      <c r="J47" s="9"/>
    </row>
    <row r="48" spans="1:25" x14ac:dyDescent="0.25">
      <c r="A48" t="s">
        <v>645</v>
      </c>
      <c r="B48" t="s">
        <v>245</v>
      </c>
      <c r="J48" s="9"/>
    </row>
    <row r="49" spans="1:10" x14ac:dyDescent="0.25">
      <c r="A49" t="s">
        <v>767</v>
      </c>
      <c r="B49" t="s">
        <v>245</v>
      </c>
      <c r="J49" s="9"/>
    </row>
    <row r="50" spans="1:10" x14ac:dyDescent="0.25">
      <c r="J50" s="9"/>
    </row>
    <row r="51" spans="1:10" x14ac:dyDescent="0.25">
      <c r="J51" s="9"/>
    </row>
    <row r="52" spans="1:10" x14ac:dyDescent="0.25">
      <c r="J52" s="9"/>
    </row>
    <row r="55" spans="1:10" x14ac:dyDescent="0.25">
      <c r="J55" s="9"/>
    </row>
    <row r="56" spans="1:10" x14ac:dyDescent="0.25">
      <c r="J56" s="9"/>
    </row>
    <row r="57" spans="1:10" x14ac:dyDescent="0.25">
      <c r="J57" s="9"/>
    </row>
    <row r="58" spans="1:10" x14ac:dyDescent="0.25">
      <c r="J58" s="9"/>
    </row>
    <row r="61" spans="1:10" x14ac:dyDescent="0.25">
      <c r="J61" s="9"/>
    </row>
    <row r="62" spans="1:10" x14ac:dyDescent="0.25">
      <c r="J62" s="9"/>
    </row>
    <row r="63" spans="1:10" x14ac:dyDescent="0.25">
      <c r="J63" s="9"/>
    </row>
    <row r="64" spans="1:10" x14ac:dyDescent="0.25">
      <c r="J64" s="9"/>
    </row>
    <row r="67" spans="10:10" x14ac:dyDescent="0.25">
      <c r="J67" s="9"/>
    </row>
    <row r="68" spans="10:10" x14ac:dyDescent="0.25">
      <c r="J68" s="9"/>
    </row>
    <row r="69" spans="10:10" x14ac:dyDescent="0.25">
      <c r="J69" s="9"/>
    </row>
    <row r="73" spans="10:10" x14ac:dyDescent="0.25">
      <c r="J73" s="9"/>
    </row>
    <row r="74" spans="10:10" x14ac:dyDescent="0.25">
      <c r="J74" s="9"/>
    </row>
    <row r="75" spans="10:10" x14ac:dyDescent="0.25">
      <c r="J75" s="9"/>
    </row>
    <row r="80" spans="10:10" x14ac:dyDescent="0.25">
      <c r="J80" s="9"/>
    </row>
    <row r="81" spans="10:10" x14ac:dyDescent="0.25">
      <c r="J81" s="9"/>
    </row>
    <row r="82" spans="10:10" x14ac:dyDescent="0.25">
      <c r="J82" s="9"/>
    </row>
    <row r="83" spans="10:10" x14ac:dyDescent="0.25">
      <c r="J83" s="9"/>
    </row>
    <row r="84" spans="10:10" x14ac:dyDescent="0.25">
      <c r="J84" s="9"/>
    </row>
    <row r="85" spans="10:10" x14ac:dyDescent="0.25">
      <c r="J85" s="9"/>
    </row>
    <row r="86" spans="10:10" x14ac:dyDescent="0.25">
      <c r="J86" s="9"/>
    </row>
    <row r="87" spans="10:10" x14ac:dyDescent="0.25">
      <c r="J87" s="9"/>
    </row>
    <row r="88" spans="10:10" x14ac:dyDescent="0.25">
      <c r="J88" s="9"/>
    </row>
    <row r="91" spans="10:10" x14ac:dyDescent="0.25">
      <c r="J91" s="9"/>
    </row>
    <row r="92" spans="10:10" x14ac:dyDescent="0.25">
      <c r="J92" s="9"/>
    </row>
    <row r="93" spans="10:10" x14ac:dyDescent="0.25">
      <c r="J93" s="9"/>
    </row>
    <row r="94" spans="10:10" x14ac:dyDescent="0.25">
      <c r="J94" s="9"/>
    </row>
    <row r="95" spans="10:10" x14ac:dyDescent="0.25">
      <c r="J95" s="9"/>
    </row>
    <row r="97" spans="10:10" x14ac:dyDescent="0.25">
      <c r="J97" s="9"/>
    </row>
    <row r="98" spans="10:10" x14ac:dyDescent="0.25">
      <c r="J98" s="9"/>
    </row>
    <row r="99" spans="10:10" x14ac:dyDescent="0.25">
      <c r="J99" s="9"/>
    </row>
    <row r="100" spans="10:10" x14ac:dyDescent="0.25">
      <c r="J100" s="9"/>
    </row>
    <row r="103" spans="10:10" x14ac:dyDescent="0.25">
      <c r="J103" s="9"/>
    </row>
    <row r="104" spans="10:10" x14ac:dyDescent="0.25">
      <c r="J104" s="9"/>
    </row>
    <row r="105" spans="10:10" x14ac:dyDescent="0.25">
      <c r="J105" s="9"/>
    </row>
    <row r="106" spans="10:10" x14ac:dyDescent="0.25">
      <c r="J106" s="9"/>
    </row>
    <row r="107" spans="10:10" x14ac:dyDescent="0.25">
      <c r="J107" s="9"/>
    </row>
    <row r="109" spans="10:10" x14ac:dyDescent="0.25">
      <c r="J109" s="9"/>
    </row>
    <row r="110" spans="10:10" x14ac:dyDescent="0.25">
      <c r="J110" s="9"/>
    </row>
    <row r="111" spans="10:10" x14ac:dyDescent="0.25">
      <c r="J111" s="9"/>
    </row>
    <row r="112" spans="10:10" x14ac:dyDescent="0.25">
      <c r="J112" s="9"/>
    </row>
    <row r="115" spans="10:10" x14ac:dyDescent="0.25">
      <c r="J115" s="9"/>
    </row>
    <row r="116" spans="10:10" x14ac:dyDescent="0.25">
      <c r="J116" s="9"/>
    </row>
    <row r="117" spans="10:10" x14ac:dyDescent="0.25">
      <c r="J117" s="9"/>
    </row>
    <row r="118" spans="10:10" x14ac:dyDescent="0.25">
      <c r="J118" s="9"/>
    </row>
    <row r="121" spans="10:10" x14ac:dyDescent="0.25">
      <c r="J121" s="9"/>
    </row>
    <row r="122" spans="10:10" x14ac:dyDescent="0.25">
      <c r="J122" s="9"/>
    </row>
    <row r="123" spans="10:10" x14ac:dyDescent="0.25">
      <c r="J123" s="9"/>
    </row>
    <row r="124" spans="10:10" x14ac:dyDescent="0.25">
      <c r="J124" s="9"/>
    </row>
    <row r="127" spans="10:10" x14ac:dyDescent="0.25">
      <c r="J127" s="9"/>
    </row>
    <row r="128" spans="10:10" x14ac:dyDescent="0.25">
      <c r="J128" s="9"/>
    </row>
    <row r="129" spans="10:10" x14ac:dyDescent="0.25">
      <c r="J129" s="9"/>
    </row>
    <row r="130" spans="10:10" x14ac:dyDescent="0.25">
      <c r="J130" s="9"/>
    </row>
    <row r="131" spans="10:10" x14ac:dyDescent="0.25">
      <c r="J131" s="9"/>
    </row>
    <row r="133" spans="10:10" x14ac:dyDescent="0.25">
      <c r="J133" s="9"/>
    </row>
    <row r="134" spans="10:10" x14ac:dyDescent="0.25">
      <c r="J134" s="9"/>
    </row>
    <row r="135" spans="10:10" x14ac:dyDescent="0.25">
      <c r="J135" s="9"/>
    </row>
    <row r="136" spans="10:10" x14ac:dyDescent="0.25">
      <c r="J136" s="9"/>
    </row>
    <row r="139" spans="10:10" x14ac:dyDescent="0.25">
      <c r="J139" s="9"/>
    </row>
    <row r="140" spans="10:10" x14ac:dyDescent="0.25">
      <c r="J140" s="9"/>
    </row>
    <row r="141" spans="10:10" x14ac:dyDescent="0.25">
      <c r="J141" s="9"/>
    </row>
    <row r="142" spans="10:10" x14ac:dyDescent="0.25">
      <c r="J142" s="9"/>
    </row>
    <row r="145" spans="10:10" x14ac:dyDescent="0.25">
      <c r="J145" s="9"/>
    </row>
    <row r="146" spans="10:10" x14ac:dyDescent="0.25">
      <c r="J146" s="9"/>
    </row>
    <row r="147" spans="10:10" x14ac:dyDescent="0.25">
      <c r="J147" s="9"/>
    </row>
    <row r="148" spans="10:10" x14ac:dyDescent="0.25">
      <c r="J148" s="9"/>
    </row>
    <row r="151" spans="10:10" x14ac:dyDescent="0.25">
      <c r="J151" s="9"/>
    </row>
    <row r="152" spans="10:10" x14ac:dyDescent="0.25">
      <c r="J152" s="9"/>
    </row>
    <row r="153" spans="10:10" x14ac:dyDescent="0.25">
      <c r="J153" s="9"/>
    </row>
    <row r="154" spans="10:10" x14ac:dyDescent="0.25">
      <c r="J154" s="9"/>
    </row>
    <row r="157" spans="10:10" x14ac:dyDescent="0.25">
      <c r="J157" s="9"/>
    </row>
    <row r="158" spans="10:10" x14ac:dyDescent="0.25">
      <c r="J158" s="9"/>
    </row>
    <row r="159" spans="10:10" x14ac:dyDescent="0.25">
      <c r="J159" s="9"/>
    </row>
    <row r="160" spans="10:10" x14ac:dyDescent="0.25">
      <c r="J160" s="9"/>
    </row>
    <row r="161" spans="10:10" x14ac:dyDescent="0.25">
      <c r="J161" s="9"/>
    </row>
    <row r="162" spans="10:10" x14ac:dyDescent="0.25">
      <c r="J162" s="9"/>
    </row>
    <row r="163" spans="10:10" x14ac:dyDescent="0.25">
      <c r="J163" s="9"/>
    </row>
    <row r="164" spans="10:10" x14ac:dyDescent="0.25">
      <c r="J164" s="9"/>
    </row>
    <row r="165" spans="10:10" x14ac:dyDescent="0.25">
      <c r="J165" s="9"/>
    </row>
    <row r="166" spans="10:10" x14ac:dyDescent="0.25">
      <c r="J166" s="9"/>
    </row>
    <row r="169" spans="10:10" x14ac:dyDescent="0.25">
      <c r="J169" s="9"/>
    </row>
    <row r="170" spans="10:10" x14ac:dyDescent="0.25">
      <c r="J170" s="9"/>
    </row>
    <row r="171" spans="10:10" x14ac:dyDescent="0.25">
      <c r="J171" s="9"/>
    </row>
    <row r="172" spans="10:10" x14ac:dyDescent="0.25">
      <c r="J172" s="9"/>
    </row>
    <row r="175" spans="10:10" x14ac:dyDescent="0.25">
      <c r="J175" s="9"/>
    </row>
    <row r="176" spans="10:10" x14ac:dyDescent="0.25">
      <c r="J176" s="9"/>
    </row>
    <row r="177" spans="10:10" x14ac:dyDescent="0.25">
      <c r="J177" s="9"/>
    </row>
    <row r="178" spans="10:10" x14ac:dyDescent="0.25">
      <c r="J178" s="9"/>
    </row>
    <row r="181" spans="10:10" x14ac:dyDescent="0.25">
      <c r="J181" s="9"/>
    </row>
    <row r="182" spans="10:10" x14ac:dyDescent="0.25">
      <c r="J182" s="9"/>
    </row>
    <row r="183" spans="10:10" x14ac:dyDescent="0.25">
      <c r="J183" s="9"/>
    </row>
    <row r="184" spans="10:10" x14ac:dyDescent="0.25">
      <c r="J184" s="9"/>
    </row>
    <row r="187" spans="10:10" x14ac:dyDescent="0.25">
      <c r="J187" s="9"/>
    </row>
    <row r="188" spans="10:10" x14ac:dyDescent="0.25">
      <c r="J188" s="9"/>
    </row>
    <row r="189" spans="10:10" x14ac:dyDescent="0.25">
      <c r="J189" s="9"/>
    </row>
    <row r="190" spans="10:10" x14ac:dyDescent="0.25">
      <c r="J190" s="9"/>
    </row>
    <row r="193" spans="10:10" x14ac:dyDescent="0.25">
      <c r="J193" s="9"/>
    </row>
    <row r="194" spans="10:10" x14ac:dyDescent="0.25">
      <c r="J194" s="9"/>
    </row>
    <row r="195" spans="10:10" x14ac:dyDescent="0.25">
      <c r="J195" s="9"/>
    </row>
    <row r="196" spans="10:10" x14ac:dyDescent="0.25">
      <c r="J196" s="9"/>
    </row>
    <row r="197" spans="10:10" x14ac:dyDescent="0.25">
      <c r="J197" s="9"/>
    </row>
    <row r="198" spans="10:10" x14ac:dyDescent="0.25">
      <c r="J198" s="9"/>
    </row>
    <row r="199" spans="10:10" x14ac:dyDescent="0.25">
      <c r="J199" s="9"/>
    </row>
    <row r="200" spans="10:10" x14ac:dyDescent="0.25">
      <c r="J200" s="9"/>
    </row>
    <row r="201" spans="10:10" x14ac:dyDescent="0.25">
      <c r="J201" s="9"/>
    </row>
    <row r="202" spans="10:10" x14ac:dyDescent="0.25">
      <c r="J202" s="9"/>
    </row>
    <row r="205" spans="10:10" x14ac:dyDescent="0.25">
      <c r="J205" s="9"/>
    </row>
    <row r="206" spans="10:10" x14ac:dyDescent="0.25">
      <c r="J206" s="9"/>
    </row>
    <row r="207" spans="10:10" x14ac:dyDescent="0.25">
      <c r="J207" s="9"/>
    </row>
    <row r="208" spans="10:10" x14ac:dyDescent="0.25">
      <c r="J208" s="9"/>
    </row>
    <row r="211" spans="10:10" x14ac:dyDescent="0.25">
      <c r="J211" s="9"/>
    </row>
    <row r="212" spans="10:10" x14ac:dyDescent="0.25">
      <c r="J212" s="9"/>
    </row>
    <row r="213" spans="10:10" x14ac:dyDescent="0.25">
      <c r="J213" s="9"/>
    </row>
    <row r="214" spans="10:10" x14ac:dyDescent="0.25">
      <c r="J214" s="9"/>
    </row>
    <row r="217" spans="10:10" x14ac:dyDescent="0.25">
      <c r="J217" s="9"/>
    </row>
    <row r="218" spans="10:10" x14ac:dyDescent="0.25">
      <c r="J218" s="9"/>
    </row>
    <row r="219" spans="10:10" x14ac:dyDescent="0.25">
      <c r="J219" s="9"/>
    </row>
    <row r="220" spans="10:10" x14ac:dyDescent="0.25">
      <c r="J220" s="9"/>
    </row>
    <row r="223" spans="10:10" x14ac:dyDescent="0.25">
      <c r="J223" s="9"/>
    </row>
    <row r="224" spans="10:10" x14ac:dyDescent="0.25">
      <c r="J224" s="9"/>
    </row>
    <row r="225" spans="10:10" x14ac:dyDescent="0.25">
      <c r="J225" s="9"/>
    </row>
    <row r="226" spans="10:10" x14ac:dyDescent="0.25">
      <c r="J226" s="9"/>
    </row>
    <row r="229" spans="10:10" x14ac:dyDescent="0.25">
      <c r="J229" s="9"/>
    </row>
    <row r="231" spans="10:10" x14ac:dyDescent="0.25">
      <c r="J231" s="9"/>
    </row>
    <row r="232" spans="10:10" x14ac:dyDescent="0.25">
      <c r="J232" s="9"/>
    </row>
    <row r="233" spans="10:10" x14ac:dyDescent="0.25">
      <c r="J233" s="9"/>
    </row>
    <row r="236" spans="10:10" x14ac:dyDescent="0.25">
      <c r="J236" s="9"/>
    </row>
    <row r="238" spans="10:10" x14ac:dyDescent="0.25">
      <c r="J238" s="9"/>
    </row>
    <row r="239" spans="10:10" x14ac:dyDescent="0.25">
      <c r="J239" s="9"/>
    </row>
    <row r="240" spans="10:10" x14ac:dyDescent="0.25">
      <c r="J240" s="9"/>
    </row>
    <row r="243" spans="10:10" x14ac:dyDescent="0.25">
      <c r="J243" s="9"/>
    </row>
    <row r="244" spans="10:10" x14ac:dyDescent="0.25">
      <c r="J244" s="9"/>
    </row>
    <row r="245" spans="10:10" x14ac:dyDescent="0.25">
      <c r="J245" s="9"/>
    </row>
    <row r="246" spans="10:10" x14ac:dyDescent="0.25">
      <c r="J246" s="9"/>
    </row>
    <row r="249" spans="10:10" x14ac:dyDescent="0.25">
      <c r="J249" s="9"/>
    </row>
    <row r="250" spans="10:10" x14ac:dyDescent="0.25">
      <c r="J250" s="9"/>
    </row>
    <row r="251" spans="10:10" x14ac:dyDescent="0.25">
      <c r="J251" s="9"/>
    </row>
    <row r="252" spans="10:10" x14ac:dyDescent="0.25">
      <c r="J252" s="9"/>
    </row>
    <row r="255" spans="10:10" x14ac:dyDescent="0.25">
      <c r="J255" s="9"/>
    </row>
    <row r="256" spans="10:10" x14ac:dyDescent="0.25">
      <c r="J256" s="9"/>
    </row>
    <row r="257" spans="10:10" x14ac:dyDescent="0.25">
      <c r="J257" s="9"/>
    </row>
    <row r="258" spans="10:10" x14ac:dyDescent="0.25">
      <c r="J258" s="9"/>
    </row>
    <row r="261" spans="10:10" x14ac:dyDescent="0.25">
      <c r="J261" s="9"/>
    </row>
    <row r="262" spans="10:10" x14ac:dyDescent="0.25">
      <c r="J262" s="9"/>
    </row>
    <row r="263" spans="10:10" x14ac:dyDescent="0.25">
      <c r="J263" s="9"/>
    </row>
    <row r="264" spans="10:10" x14ac:dyDescent="0.25">
      <c r="J264" s="9"/>
    </row>
    <row r="267" spans="10:10" x14ac:dyDescent="0.25">
      <c r="J267" s="9"/>
    </row>
    <row r="268" spans="10:10" x14ac:dyDescent="0.25">
      <c r="J268" s="9"/>
    </row>
    <row r="269" spans="10:10" x14ac:dyDescent="0.25">
      <c r="J269" s="9"/>
    </row>
    <row r="270" spans="10:10" x14ac:dyDescent="0.25">
      <c r="J270" s="9"/>
    </row>
    <row r="273" spans="10:10" x14ac:dyDescent="0.25">
      <c r="J273" s="9"/>
    </row>
    <row r="275" spans="10:10" x14ac:dyDescent="0.25">
      <c r="J275" s="9"/>
    </row>
    <row r="276" spans="10:10" x14ac:dyDescent="0.25">
      <c r="J276" s="9"/>
    </row>
    <row r="277" spans="10:10" x14ac:dyDescent="0.25">
      <c r="J277" s="9"/>
    </row>
    <row r="280" spans="10:10" x14ac:dyDescent="0.25">
      <c r="J280" s="9"/>
    </row>
    <row r="281" spans="10:10" x14ac:dyDescent="0.25">
      <c r="J281" s="9"/>
    </row>
    <row r="282" spans="10:10" x14ac:dyDescent="0.25">
      <c r="J282" s="9"/>
    </row>
    <row r="283" spans="10:10" x14ac:dyDescent="0.25">
      <c r="J283" s="9"/>
    </row>
    <row r="284" spans="10:10" x14ac:dyDescent="0.25">
      <c r="J284" s="9"/>
    </row>
    <row r="285" spans="10:10" x14ac:dyDescent="0.25">
      <c r="J285" s="9"/>
    </row>
    <row r="290" spans="10:10" x14ac:dyDescent="0.25">
      <c r="J290" s="9"/>
    </row>
  </sheetData>
  <conditionalFormatting sqref="B2:B49">
    <cfRule type="containsText" dxfId="29" priority="1" operator="containsText" text="No">
      <formula>NOT(ISERROR(SEARCH("No",B2)))</formula>
    </cfRule>
    <cfRule type="containsText" dxfId="28" priority="2" operator="containsText" text="Yes">
      <formula>NOT(ISERROR(SEARCH("Yes",B2)))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7"/>
  <sheetViews>
    <sheetView topLeftCell="A13" zoomScale="70" zoomScaleNormal="70" workbookViewId="0">
      <selection activeCell="B43" sqref="B43"/>
    </sheetView>
  </sheetViews>
  <sheetFormatPr defaultRowHeight="15" x14ac:dyDescent="0.25"/>
  <cols>
    <col min="1" max="1" width="18.28515625" bestFit="1" customWidth="1"/>
    <col min="2" max="2" width="25.42578125" customWidth="1"/>
    <col min="3" max="3" width="30.28515625" bestFit="1" customWidth="1"/>
    <col min="4" max="4" width="37.7109375" bestFit="1" customWidth="1"/>
    <col min="5" max="5" width="30.28515625" customWidth="1"/>
    <col min="6" max="6" width="84" customWidth="1"/>
  </cols>
  <sheetData>
    <row r="1" spans="1:8" x14ac:dyDescent="0.25">
      <c r="B1" s="19" t="s">
        <v>596</v>
      </c>
      <c r="C1" s="19" t="s">
        <v>597</v>
      </c>
      <c r="D1" s="19" t="s">
        <v>654</v>
      </c>
      <c r="E1" s="19" t="s">
        <v>652</v>
      </c>
      <c r="F1" s="19" t="s">
        <v>241</v>
      </c>
      <c r="G1" s="19"/>
    </row>
    <row r="2" spans="1:8" x14ac:dyDescent="0.25">
      <c r="A2" s="19" t="s">
        <v>598</v>
      </c>
      <c r="B2" t="s">
        <v>647</v>
      </c>
      <c r="C2" t="s">
        <v>245</v>
      </c>
      <c r="D2" t="s">
        <v>245</v>
      </c>
      <c r="E2" t="s">
        <v>245</v>
      </c>
    </row>
    <row r="3" spans="1:8" x14ac:dyDescent="0.25">
      <c r="A3" s="12" t="s">
        <v>599</v>
      </c>
      <c r="B3" t="s">
        <v>648</v>
      </c>
      <c r="C3" t="s">
        <v>649</v>
      </c>
      <c r="D3" t="s">
        <v>650</v>
      </c>
      <c r="E3" t="s">
        <v>245</v>
      </c>
      <c r="F3" t="s">
        <v>653</v>
      </c>
    </row>
    <row r="4" spans="1:8" x14ac:dyDescent="0.25">
      <c r="A4" s="19" t="s">
        <v>600</v>
      </c>
      <c r="B4" t="s">
        <v>648</v>
      </c>
      <c r="C4" s="18" t="s">
        <v>703</v>
      </c>
      <c r="D4" t="s">
        <v>650</v>
      </c>
      <c r="E4" t="s">
        <v>650</v>
      </c>
      <c r="F4" t="s">
        <v>704</v>
      </c>
    </row>
    <row r="5" spans="1:8" x14ac:dyDescent="0.25">
      <c r="A5" s="19" t="s">
        <v>601</v>
      </c>
      <c r="B5" t="s">
        <v>245</v>
      </c>
      <c r="C5" s="18" t="s">
        <v>703</v>
      </c>
      <c r="D5" t="s">
        <v>650</v>
      </c>
      <c r="E5" t="s">
        <v>650</v>
      </c>
      <c r="F5" t="s">
        <v>705</v>
      </c>
    </row>
    <row r="6" spans="1:8" x14ac:dyDescent="0.25">
      <c r="A6" s="19" t="s">
        <v>602</v>
      </c>
      <c r="D6" t="s">
        <v>650</v>
      </c>
      <c r="E6" t="s">
        <v>650</v>
      </c>
      <c r="F6" t="s">
        <v>656</v>
      </c>
    </row>
    <row r="7" spans="1:8" x14ac:dyDescent="0.25">
      <c r="A7" s="19" t="s">
        <v>19</v>
      </c>
      <c r="B7" t="s">
        <v>650</v>
      </c>
      <c r="C7" s="18" t="s">
        <v>245</v>
      </c>
      <c r="D7" t="s">
        <v>650</v>
      </c>
      <c r="E7" t="s">
        <v>245</v>
      </c>
      <c r="F7" t="s">
        <v>714</v>
      </c>
    </row>
    <row r="8" spans="1:8" x14ac:dyDescent="0.25">
      <c r="A8" s="19" t="s">
        <v>603</v>
      </c>
      <c r="B8" t="s">
        <v>245</v>
      </c>
      <c r="C8" t="s">
        <v>659</v>
      </c>
      <c r="D8" t="s">
        <v>650</v>
      </c>
      <c r="E8" t="s">
        <v>650</v>
      </c>
      <c r="F8" t="s">
        <v>660</v>
      </c>
    </row>
    <row r="9" spans="1:8" x14ac:dyDescent="0.25">
      <c r="A9" s="19" t="s">
        <v>604</v>
      </c>
      <c r="B9" t="s">
        <v>245</v>
      </c>
      <c r="C9" s="18" t="s">
        <v>703</v>
      </c>
      <c r="D9" t="s">
        <v>245</v>
      </c>
      <c r="E9" t="s">
        <v>245</v>
      </c>
    </row>
    <row r="10" spans="1:8" x14ac:dyDescent="0.25">
      <c r="A10" s="19" t="s">
        <v>605</v>
      </c>
      <c r="B10" t="s">
        <v>245</v>
      </c>
      <c r="C10" t="s">
        <v>245</v>
      </c>
      <c r="D10" t="s">
        <v>650</v>
      </c>
      <c r="E10" t="s">
        <v>245</v>
      </c>
      <c r="F10" t="s">
        <v>780</v>
      </c>
      <c r="H10" s="15" t="s">
        <v>664</v>
      </c>
    </row>
    <row r="11" spans="1:8" x14ac:dyDescent="0.25">
      <c r="A11" s="19" t="s">
        <v>372</v>
      </c>
      <c r="B11" t="s">
        <v>245</v>
      </c>
      <c r="C11" t="s">
        <v>245</v>
      </c>
      <c r="D11" t="s">
        <v>245</v>
      </c>
      <c r="E11" t="s">
        <v>245</v>
      </c>
    </row>
    <row r="12" spans="1:8" x14ac:dyDescent="0.25">
      <c r="A12" s="19" t="s">
        <v>606</v>
      </c>
      <c r="B12" s="18" t="s">
        <v>245</v>
      </c>
      <c r="C12" s="18" t="s">
        <v>703</v>
      </c>
      <c r="D12" t="s">
        <v>650</v>
      </c>
      <c r="E12" t="s">
        <v>650</v>
      </c>
      <c r="F12" t="s">
        <v>661</v>
      </c>
    </row>
    <row r="13" spans="1:8" x14ac:dyDescent="0.25">
      <c r="A13" s="19" t="s">
        <v>607</v>
      </c>
      <c r="B13" s="18" t="s">
        <v>245</v>
      </c>
      <c r="C13" s="18" t="s">
        <v>703</v>
      </c>
      <c r="D13" t="s">
        <v>650</v>
      </c>
      <c r="E13" t="s">
        <v>650</v>
      </c>
      <c r="F13" t="s">
        <v>661</v>
      </c>
    </row>
    <row r="14" spans="1:8" x14ac:dyDescent="0.25">
      <c r="A14" s="19" t="s">
        <v>608</v>
      </c>
      <c r="B14" s="18" t="s">
        <v>245</v>
      </c>
      <c r="C14" s="18" t="s">
        <v>703</v>
      </c>
      <c r="D14" t="s">
        <v>650</v>
      </c>
      <c r="E14" t="s">
        <v>650</v>
      </c>
      <c r="F14" t="s">
        <v>661</v>
      </c>
    </row>
    <row r="15" spans="1:8" x14ac:dyDescent="0.25">
      <c r="A15" s="19" t="s">
        <v>609</v>
      </c>
      <c r="B15" s="18" t="s">
        <v>245</v>
      </c>
      <c r="C15" s="18" t="s">
        <v>703</v>
      </c>
      <c r="D15" t="s">
        <v>650</v>
      </c>
      <c r="E15" t="s">
        <v>650</v>
      </c>
    </row>
    <row r="16" spans="1:8" x14ac:dyDescent="0.25">
      <c r="A16" s="19" t="s">
        <v>26</v>
      </c>
      <c r="B16" t="s">
        <v>650</v>
      </c>
      <c r="C16" s="18" t="s">
        <v>245</v>
      </c>
      <c r="D16" t="s">
        <v>650</v>
      </c>
      <c r="E16" t="s">
        <v>650</v>
      </c>
      <c r="F16" t="s">
        <v>717</v>
      </c>
    </row>
    <row r="17" spans="1:8" x14ac:dyDescent="0.25">
      <c r="A17" s="19" t="s">
        <v>610</v>
      </c>
      <c r="B17" t="s">
        <v>735</v>
      </c>
      <c r="C17" s="18" t="s">
        <v>650</v>
      </c>
      <c r="D17" t="s">
        <v>650</v>
      </c>
      <c r="E17" t="s">
        <v>650</v>
      </c>
      <c r="F17" s="36" t="s">
        <v>752</v>
      </c>
    </row>
    <row r="18" spans="1:8" x14ac:dyDescent="0.25">
      <c r="A18" s="19" t="s">
        <v>565</v>
      </c>
      <c r="B18" t="s">
        <v>245</v>
      </c>
      <c r="C18" t="s">
        <v>650</v>
      </c>
      <c r="D18" t="s">
        <v>650</v>
      </c>
      <c r="E18" t="s">
        <v>245</v>
      </c>
      <c r="F18" t="s">
        <v>662</v>
      </c>
    </row>
    <row r="19" spans="1:8" ht="90" x14ac:dyDescent="0.25">
      <c r="A19" s="19" t="s">
        <v>611</v>
      </c>
      <c r="B19" t="s">
        <v>245</v>
      </c>
      <c r="C19" t="s">
        <v>650</v>
      </c>
      <c r="D19" t="s">
        <v>650</v>
      </c>
      <c r="E19" t="s">
        <v>650</v>
      </c>
      <c r="F19" s="37" t="s">
        <v>753</v>
      </c>
    </row>
    <row r="20" spans="1:8" x14ac:dyDescent="0.25">
      <c r="A20" s="19" t="s">
        <v>612</v>
      </c>
      <c r="B20" s="18" t="s">
        <v>650</v>
      </c>
      <c r="C20" s="18" t="s">
        <v>703</v>
      </c>
      <c r="D20" t="s">
        <v>650</v>
      </c>
      <c r="E20" t="s">
        <v>650</v>
      </c>
    </row>
    <row r="21" spans="1:8" x14ac:dyDescent="0.25">
      <c r="A21" s="19" t="s">
        <v>613</v>
      </c>
      <c r="B21" t="s">
        <v>650</v>
      </c>
      <c r="C21" s="18" t="s">
        <v>245</v>
      </c>
      <c r="D21" t="s">
        <v>650</v>
      </c>
      <c r="E21" t="s">
        <v>650</v>
      </c>
      <c r="F21" t="s">
        <v>742</v>
      </c>
    </row>
    <row r="22" spans="1:8" x14ac:dyDescent="0.25">
      <c r="A22" s="19" t="s">
        <v>614</v>
      </c>
      <c r="B22" t="s">
        <v>650</v>
      </c>
      <c r="C22" s="18" t="s">
        <v>703</v>
      </c>
      <c r="D22" t="s">
        <v>650</v>
      </c>
      <c r="E22" t="s">
        <v>650</v>
      </c>
      <c r="F22" t="s">
        <v>744</v>
      </c>
    </row>
    <row r="23" spans="1:8" x14ac:dyDescent="0.25">
      <c r="A23" s="19" t="s">
        <v>615</v>
      </c>
      <c r="B23" t="s">
        <v>245</v>
      </c>
      <c r="C23" t="s">
        <v>245</v>
      </c>
      <c r="D23" t="s">
        <v>650</v>
      </c>
      <c r="E23" t="s">
        <v>650</v>
      </c>
      <c r="F23" t="s">
        <v>661</v>
      </c>
    </row>
    <row r="24" spans="1:8" x14ac:dyDescent="0.25">
      <c r="A24" s="19" t="s">
        <v>616</v>
      </c>
      <c r="B24" t="s">
        <v>245</v>
      </c>
      <c r="C24" t="s">
        <v>245</v>
      </c>
      <c r="D24" t="s">
        <v>245</v>
      </c>
      <c r="E24" t="s">
        <v>245</v>
      </c>
    </row>
    <row r="25" spans="1:8" x14ac:dyDescent="0.25">
      <c r="A25" s="19" t="s">
        <v>617</v>
      </c>
      <c r="B25" t="s">
        <v>245</v>
      </c>
      <c r="C25" t="s">
        <v>245</v>
      </c>
      <c r="D25" t="s">
        <v>650</v>
      </c>
      <c r="E25" t="s">
        <v>245</v>
      </c>
      <c r="F25" t="s">
        <v>663</v>
      </c>
      <c r="H25" s="15" t="s">
        <v>664</v>
      </c>
    </row>
    <row r="26" spans="1:8" x14ac:dyDescent="0.25">
      <c r="A26" s="19" t="s">
        <v>618</v>
      </c>
      <c r="B26" t="s">
        <v>245</v>
      </c>
      <c r="C26" t="s">
        <v>245</v>
      </c>
      <c r="D26" t="s">
        <v>650</v>
      </c>
      <c r="E26" t="s">
        <v>650</v>
      </c>
      <c r="F26" t="s">
        <v>760</v>
      </c>
    </row>
    <row r="27" spans="1:8" x14ac:dyDescent="0.25">
      <c r="A27" s="19" t="s">
        <v>619</v>
      </c>
      <c r="B27" t="s">
        <v>245</v>
      </c>
      <c r="C27" t="s">
        <v>245</v>
      </c>
      <c r="D27" t="s">
        <v>650</v>
      </c>
      <c r="E27" t="s">
        <v>245</v>
      </c>
      <c r="F27" s="18" t="s">
        <v>665</v>
      </c>
    </row>
    <row r="28" spans="1:8" x14ac:dyDescent="0.25">
      <c r="A28" s="19" t="s">
        <v>373</v>
      </c>
      <c r="B28" t="s">
        <v>245</v>
      </c>
      <c r="C28" t="s">
        <v>650</v>
      </c>
      <c r="D28" t="s">
        <v>650</v>
      </c>
      <c r="E28" t="s">
        <v>650</v>
      </c>
      <c r="F28" t="s">
        <v>666</v>
      </c>
    </row>
    <row r="29" spans="1:8" x14ac:dyDescent="0.25">
      <c r="A29" s="19" t="s">
        <v>620</v>
      </c>
      <c r="B29" t="s">
        <v>245</v>
      </c>
      <c r="C29" s="18" t="s">
        <v>703</v>
      </c>
      <c r="D29" t="s">
        <v>650</v>
      </c>
      <c r="E29" t="s">
        <v>650</v>
      </c>
      <c r="F29" t="s">
        <v>661</v>
      </c>
    </row>
    <row r="30" spans="1:8" x14ac:dyDescent="0.25">
      <c r="A30" s="19" t="s">
        <v>621</v>
      </c>
      <c r="B30" t="s">
        <v>245</v>
      </c>
      <c r="C30" t="s">
        <v>245</v>
      </c>
      <c r="D30" t="s">
        <v>245</v>
      </c>
      <c r="E30" t="s">
        <v>245</v>
      </c>
      <c r="H30" s="15" t="s">
        <v>664</v>
      </c>
    </row>
    <row r="31" spans="1:8" x14ac:dyDescent="0.25">
      <c r="A31" s="19" t="s">
        <v>622</v>
      </c>
      <c r="B31" t="s">
        <v>245</v>
      </c>
      <c r="C31" s="18" t="s">
        <v>703</v>
      </c>
      <c r="D31" t="s">
        <v>650</v>
      </c>
      <c r="E31" t="s">
        <v>650</v>
      </c>
      <c r="F31" s="26" t="s">
        <v>670</v>
      </c>
    </row>
    <row r="32" spans="1:8" x14ac:dyDescent="0.25">
      <c r="A32" s="19" t="s">
        <v>623</v>
      </c>
      <c r="B32" t="s">
        <v>245</v>
      </c>
      <c r="C32" t="s">
        <v>650</v>
      </c>
      <c r="D32" t="s">
        <v>650</v>
      </c>
      <c r="E32" t="s">
        <v>245</v>
      </c>
      <c r="F32" t="s">
        <v>742</v>
      </c>
    </row>
    <row r="33" spans="1:7" x14ac:dyDescent="0.25">
      <c r="A33" s="19" t="s">
        <v>624</v>
      </c>
      <c r="B33" t="s">
        <v>245</v>
      </c>
      <c r="C33" s="18" t="s">
        <v>703</v>
      </c>
      <c r="D33" t="s">
        <v>655</v>
      </c>
    </row>
    <row r="34" spans="1:7" x14ac:dyDescent="0.25">
      <c r="A34" s="19" t="s">
        <v>625</v>
      </c>
      <c r="B34" t="s">
        <v>245</v>
      </c>
      <c r="C34" t="s">
        <v>650</v>
      </c>
      <c r="D34" t="s">
        <v>650</v>
      </c>
      <c r="E34" t="s">
        <v>245</v>
      </c>
      <c r="F34" t="s">
        <v>742</v>
      </c>
    </row>
    <row r="35" spans="1:7" x14ac:dyDescent="0.25">
      <c r="A35" s="19" t="s">
        <v>626</v>
      </c>
      <c r="B35" t="s">
        <v>245</v>
      </c>
      <c r="C35" t="s">
        <v>650</v>
      </c>
      <c r="D35" t="s">
        <v>655</v>
      </c>
    </row>
    <row r="36" spans="1:7" x14ac:dyDescent="0.25">
      <c r="A36" s="19" t="s">
        <v>627</v>
      </c>
      <c r="B36" t="s">
        <v>245</v>
      </c>
      <c r="C36" t="s">
        <v>245</v>
      </c>
      <c r="D36" t="s">
        <v>650</v>
      </c>
      <c r="E36" t="s">
        <v>650</v>
      </c>
      <c r="F36" t="s">
        <v>661</v>
      </c>
    </row>
    <row r="37" spans="1:7" x14ac:dyDescent="0.25">
      <c r="A37" s="19" t="s">
        <v>66</v>
      </c>
      <c r="B37" t="s">
        <v>245</v>
      </c>
      <c r="C37" t="s">
        <v>650</v>
      </c>
      <c r="D37" t="s">
        <v>650</v>
      </c>
      <c r="E37" t="s">
        <v>650</v>
      </c>
      <c r="F37" t="s">
        <v>669</v>
      </c>
    </row>
    <row r="38" spans="1:7" x14ac:dyDescent="0.25">
      <c r="A38" s="19" t="s">
        <v>628</v>
      </c>
      <c r="B38" t="s">
        <v>245</v>
      </c>
      <c r="C38" t="s">
        <v>671</v>
      </c>
      <c r="D38" t="s">
        <v>650</v>
      </c>
      <c r="E38" t="s">
        <v>245</v>
      </c>
      <c r="F38" t="s">
        <v>662</v>
      </c>
    </row>
    <row r="39" spans="1:7" ht="15.75" thickBot="1" x14ac:dyDescent="0.3">
      <c r="A39" s="19" t="s">
        <v>629</v>
      </c>
      <c r="B39" t="s">
        <v>650</v>
      </c>
      <c r="C39" t="s">
        <v>245</v>
      </c>
      <c r="D39" t="s">
        <v>650</v>
      </c>
      <c r="E39" t="s">
        <v>650</v>
      </c>
      <c r="F39" t="s">
        <v>662</v>
      </c>
      <c r="G39" t="s">
        <v>802</v>
      </c>
    </row>
    <row r="40" spans="1:7" ht="16.5" thickTop="1" thickBot="1" x14ac:dyDescent="0.3">
      <c r="A40" s="27" t="s">
        <v>630</v>
      </c>
      <c r="B40" t="s">
        <v>650</v>
      </c>
      <c r="C40" t="s">
        <v>650</v>
      </c>
      <c r="D40" t="s">
        <v>650</v>
      </c>
      <c r="E40" t="s">
        <v>650</v>
      </c>
      <c r="F40" t="s">
        <v>672</v>
      </c>
    </row>
    <row r="41" spans="1:7" ht="15.75" thickTop="1" x14ac:dyDescent="0.25">
      <c r="A41" s="19" t="s">
        <v>631</v>
      </c>
      <c r="B41" t="s">
        <v>245</v>
      </c>
      <c r="C41" t="s">
        <v>245</v>
      </c>
      <c r="D41" t="s">
        <v>650</v>
      </c>
      <c r="E41" t="s">
        <v>650</v>
      </c>
      <c r="F41" t="s">
        <v>661</v>
      </c>
    </row>
    <row r="42" spans="1:7" x14ac:dyDescent="0.25">
      <c r="A42" s="19" t="s">
        <v>632</v>
      </c>
      <c r="B42" t="s">
        <v>650</v>
      </c>
      <c r="C42" t="s">
        <v>245</v>
      </c>
      <c r="D42" t="s">
        <v>650</v>
      </c>
      <c r="E42" t="s">
        <v>650</v>
      </c>
      <c r="F42" t="s">
        <v>807</v>
      </c>
    </row>
    <row r="43" spans="1:7" x14ac:dyDescent="0.25">
      <c r="A43" s="19" t="s">
        <v>574</v>
      </c>
      <c r="B43" s="28" t="s">
        <v>245</v>
      </c>
      <c r="C43" t="s">
        <v>650</v>
      </c>
      <c r="D43" t="s">
        <v>650</v>
      </c>
      <c r="E43" t="s">
        <v>650</v>
      </c>
      <c r="F43" t="s">
        <v>662</v>
      </c>
    </row>
    <row r="44" spans="1:7" x14ac:dyDescent="0.25">
      <c r="A44" s="19" t="s">
        <v>633</v>
      </c>
      <c r="B44" s="28" t="s">
        <v>245</v>
      </c>
      <c r="C44" t="s">
        <v>245</v>
      </c>
      <c r="D44" t="s">
        <v>245</v>
      </c>
      <c r="E44" t="s">
        <v>245</v>
      </c>
      <c r="F44" t="s">
        <v>688</v>
      </c>
    </row>
    <row r="45" spans="1:7" x14ac:dyDescent="0.25">
      <c r="A45" s="19" t="s">
        <v>575</v>
      </c>
      <c r="B45" s="28" t="s">
        <v>245</v>
      </c>
      <c r="C45" t="s">
        <v>650</v>
      </c>
      <c r="D45" t="s">
        <v>650</v>
      </c>
      <c r="E45" t="s">
        <v>245</v>
      </c>
    </row>
    <row r="46" spans="1:7" x14ac:dyDescent="0.25">
      <c r="A46" s="19" t="s">
        <v>634</v>
      </c>
      <c r="B46" s="28" t="s">
        <v>650</v>
      </c>
      <c r="C46" t="s">
        <v>245</v>
      </c>
      <c r="D46" t="s">
        <v>245</v>
      </c>
      <c r="E46" t="s">
        <v>245</v>
      </c>
    </row>
    <row r="47" spans="1:7" x14ac:dyDescent="0.25">
      <c r="A47" s="19" t="s">
        <v>635</v>
      </c>
      <c r="B47" s="28" t="s">
        <v>245</v>
      </c>
      <c r="C47" t="s">
        <v>650</v>
      </c>
      <c r="D47" t="s">
        <v>650</v>
      </c>
      <c r="E47" t="s">
        <v>650</v>
      </c>
    </row>
    <row r="48" spans="1:7" x14ac:dyDescent="0.25">
      <c r="A48" s="19" t="s">
        <v>636</v>
      </c>
      <c r="B48" s="28" t="s">
        <v>245</v>
      </c>
      <c r="C48" t="s">
        <v>650</v>
      </c>
      <c r="D48" t="s">
        <v>650</v>
      </c>
      <c r="E48" t="s">
        <v>650</v>
      </c>
    </row>
    <row r="49" spans="1:6" x14ac:dyDescent="0.25">
      <c r="A49" s="19" t="s">
        <v>637</v>
      </c>
      <c r="B49" s="28" t="s">
        <v>650</v>
      </c>
      <c r="C49" t="s">
        <v>245</v>
      </c>
      <c r="D49" t="s">
        <v>650</v>
      </c>
      <c r="E49" t="s">
        <v>245</v>
      </c>
    </row>
    <row r="50" spans="1:6" x14ac:dyDescent="0.25">
      <c r="A50" s="19" t="s">
        <v>638</v>
      </c>
      <c r="B50" t="s">
        <v>245</v>
      </c>
      <c r="C50" t="s">
        <v>245</v>
      </c>
      <c r="D50" t="s">
        <v>650</v>
      </c>
      <c r="E50" t="s">
        <v>650</v>
      </c>
      <c r="F50" t="s">
        <v>661</v>
      </c>
    </row>
    <row r="51" spans="1:6" x14ac:dyDescent="0.25">
      <c r="A51" s="19" t="s">
        <v>639</v>
      </c>
      <c r="B51" t="s">
        <v>245</v>
      </c>
      <c r="C51" t="s">
        <v>245</v>
      </c>
      <c r="D51" t="s">
        <v>245</v>
      </c>
      <c r="E51" t="s">
        <v>245</v>
      </c>
      <c r="F51" t="s">
        <v>769</v>
      </c>
    </row>
    <row r="52" spans="1:6" x14ac:dyDescent="0.25">
      <c r="A52" s="19" t="s">
        <v>640</v>
      </c>
      <c r="B52" t="s">
        <v>245</v>
      </c>
      <c r="C52" t="s">
        <v>245</v>
      </c>
      <c r="D52" t="s">
        <v>650</v>
      </c>
      <c r="E52" t="s">
        <v>650</v>
      </c>
      <c r="F52" s="18" t="s">
        <v>673</v>
      </c>
    </row>
    <row r="53" spans="1:6" x14ac:dyDescent="0.25">
      <c r="A53" s="19" t="s">
        <v>641</v>
      </c>
      <c r="B53" t="s">
        <v>245</v>
      </c>
      <c r="C53" t="s">
        <v>650</v>
      </c>
      <c r="D53" t="s">
        <v>650</v>
      </c>
      <c r="E53" t="s">
        <v>245</v>
      </c>
    </row>
    <row r="54" spans="1:6" x14ac:dyDescent="0.25">
      <c r="A54" s="19" t="s">
        <v>642</v>
      </c>
      <c r="B54" t="s">
        <v>245</v>
      </c>
      <c r="C54" t="s">
        <v>703</v>
      </c>
      <c r="D54" t="s">
        <v>650</v>
      </c>
      <c r="E54" t="s">
        <v>650</v>
      </c>
    </row>
    <row r="55" spans="1:6" x14ac:dyDescent="0.25">
      <c r="A55" s="19" t="s">
        <v>643</v>
      </c>
      <c r="B55" t="s">
        <v>245</v>
      </c>
      <c r="C55" t="s">
        <v>245</v>
      </c>
      <c r="D55" t="s">
        <v>650</v>
      </c>
      <c r="E55" t="s">
        <v>650</v>
      </c>
      <c r="F55" t="s">
        <v>661</v>
      </c>
    </row>
    <row r="56" spans="1:6" x14ac:dyDescent="0.25">
      <c r="A56" s="19" t="s">
        <v>644</v>
      </c>
      <c r="B56" t="s">
        <v>245</v>
      </c>
      <c r="C56" t="s">
        <v>245</v>
      </c>
      <c r="D56" t="s">
        <v>650</v>
      </c>
      <c r="E56" t="s">
        <v>650</v>
      </c>
      <c r="F56" t="s">
        <v>661</v>
      </c>
    </row>
    <row r="57" spans="1:6" x14ac:dyDescent="0.25">
      <c r="A57" s="19" t="s">
        <v>645</v>
      </c>
      <c r="B57" t="s">
        <v>245</v>
      </c>
      <c r="C57" t="s">
        <v>245</v>
      </c>
      <c r="D57" t="s">
        <v>245</v>
      </c>
      <c r="E57" t="s">
        <v>245</v>
      </c>
    </row>
    <row r="58" spans="1:6" x14ac:dyDescent="0.25">
      <c r="A58" s="19" t="s">
        <v>646</v>
      </c>
      <c r="B58" t="s">
        <v>245</v>
      </c>
      <c r="C58" t="s">
        <v>650</v>
      </c>
      <c r="D58" t="s">
        <v>650</v>
      </c>
      <c r="E58" t="s">
        <v>650</v>
      </c>
    </row>
    <row r="60" spans="1:6" x14ac:dyDescent="0.25">
      <c r="A60" s="19" t="s">
        <v>651</v>
      </c>
      <c r="B60" t="s">
        <v>245</v>
      </c>
      <c r="C60" t="s">
        <v>245</v>
      </c>
      <c r="D60" t="s">
        <v>245</v>
      </c>
      <c r="E60" t="s">
        <v>245</v>
      </c>
    </row>
    <row r="61" spans="1:6" x14ac:dyDescent="0.25">
      <c r="A61" s="19" t="s">
        <v>749</v>
      </c>
      <c r="B61" t="s">
        <v>245</v>
      </c>
      <c r="C61" t="s">
        <v>650</v>
      </c>
    </row>
    <row r="63" spans="1:6" x14ac:dyDescent="0.25">
      <c r="D63" s="18" t="s">
        <v>702</v>
      </c>
    </row>
    <row r="67" spans="2:2" x14ac:dyDescent="0.25">
      <c r="B67" s="19" t="s">
        <v>758</v>
      </c>
    </row>
  </sheetData>
  <conditionalFormatting sqref="B2:C2 F6:F8 F12:F14 F23 F36 F41:F42 F50 F55:F56 F25 H25 F27:F29 F44 F52 B62:C62 E62 D63 G39 B3:E61">
    <cfRule type="containsText" dxfId="27" priority="38" operator="containsText" text="No">
      <formula>NOT(ISERROR(SEARCH("No",B2)))</formula>
    </cfRule>
    <cfRule type="containsText" dxfId="26" priority="39" operator="containsText" text="Yes">
      <formula>NOT(ISERROR(SEARCH("Yes",B2)))</formula>
    </cfRule>
  </conditionalFormatting>
  <conditionalFormatting sqref="B63:C63 E63">
    <cfRule type="containsText" dxfId="25" priority="36" operator="containsText" text="No">
      <formula>NOT(ISERROR(SEARCH("No",B63)))</formula>
    </cfRule>
    <cfRule type="containsText" dxfId="24" priority="37" operator="containsText" text="Yes">
      <formula>NOT(ISERROR(SEARCH("Yes",B63)))</formula>
    </cfRule>
  </conditionalFormatting>
  <conditionalFormatting sqref="D2:E2">
    <cfRule type="containsText" dxfId="23" priority="32" operator="containsText" text="No">
      <formula>NOT(ISERROR(SEARCH("No",D2)))</formula>
    </cfRule>
    <cfRule type="containsText" dxfId="22" priority="33" operator="containsText" text="Yes">
      <formula>NOT(ISERROR(SEARCH("Yes",D2)))</formula>
    </cfRule>
  </conditionalFormatting>
  <conditionalFormatting sqref="F12:F14 F23 F36 F41:F42 F50 F55:F56 F25 H25 F27:F29 F44 F52 G39 B2:E58">
    <cfRule type="containsText" dxfId="21" priority="31" operator="containsText" text="Ecoinvent">
      <formula>NOT(ISERROR(SEARCH("Ecoinvent",B2)))</formula>
    </cfRule>
  </conditionalFormatting>
  <conditionalFormatting sqref="H10">
    <cfRule type="containsText" dxfId="20" priority="29" operator="containsText" text="No">
      <formula>NOT(ISERROR(SEARCH("No",H10)))</formula>
    </cfRule>
    <cfRule type="containsText" dxfId="19" priority="30" operator="containsText" text="Yes">
      <formula>NOT(ISERROR(SEARCH("Yes",H10)))</formula>
    </cfRule>
  </conditionalFormatting>
  <conditionalFormatting sqref="H10">
    <cfRule type="containsText" dxfId="18" priority="28" operator="containsText" text="Ecoinvent">
      <formula>NOT(ISERROR(SEARCH("Ecoinvent",H10)))</formula>
    </cfRule>
  </conditionalFormatting>
  <conditionalFormatting sqref="H30">
    <cfRule type="containsText" dxfId="17" priority="26" operator="containsText" text="No">
      <formula>NOT(ISERROR(SEARCH("No",H30)))</formula>
    </cfRule>
    <cfRule type="containsText" dxfId="16" priority="27" operator="containsText" text="Yes">
      <formula>NOT(ISERROR(SEARCH("Yes",H30)))</formula>
    </cfRule>
  </conditionalFormatting>
  <conditionalFormatting sqref="H30">
    <cfRule type="containsText" dxfId="15" priority="25" operator="containsText" text="Ecoinvent">
      <formula>NOT(ISERROR(SEARCH("Ecoinvent",H30)))</formula>
    </cfRule>
  </conditionalFormatting>
  <conditionalFormatting sqref="H44">
    <cfRule type="containsText" dxfId="14" priority="20" operator="containsText" text="No">
      <formula>NOT(ISERROR(SEARCH("No",H44)))</formula>
    </cfRule>
    <cfRule type="containsText" dxfId="13" priority="21" operator="containsText" text="Yes">
      <formula>NOT(ISERROR(SEARCH("Yes",H44)))</formula>
    </cfRule>
  </conditionalFormatting>
  <conditionalFormatting sqref="H44">
    <cfRule type="containsText" dxfId="12" priority="19" operator="containsText" text="Ecoinvent">
      <formula>NOT(ISERROR(SEARCH("Ecoinvent",H44)))</formula>
    </cfRule>
  </conditionalFormatting>
  <conditionalFormatting sqref="H46">
    <cfRule type="containsText" dxfId="11" priority="17" operator="containsText" text="No">
      <formula>NOT(ISERROR(SEARCH("No",H46)))</formula>
    </cfRule>
    <cfRule type="containsText" dxfId="10" priority="18" operator="containsText" text="Yes">
      <formula>NOT(ISERROR(SEARCH("Yes",H46)))</formula>
    </cfRule>
  </conditionalFormatting>
  <conditionalFormatting sqref="H46">
    <cfRule type="containsText" dxfId="9" priority="16" operator="containsText" text="Ecoinvent">
      <formula>NOT(ISERROR(SEARCH("Ecoinvent",H46)))</formula>
    </cfRule>
  </conditionalFormatting>
  <conditionalFormatting sqref="H52">
    <cfRule type="containsText" dxfId="8" priority="14" operator="containsText" text="No">
      <formula>NOT(ISERROR(SEARCH("No",H52)))</formula>
    </cfRule>
    <cfRule type="containsText" dxfId="7" priority="15" operator="containsText" text="Yes">
      <formula>NOT(ISERROR(SEARCH("Yes",H52)))</formula>
    </cfRule>
  </conditionalFormatting>
  <conditionalFormatting sqref="H52">
    <cfRule type="containsText" dxfId="6" priority="13" operator="containsText" text="Ecoinvent">
      <formula>NOT(ISERROR(SEARCH("Ecoinvent",H52)))</formula>
    </cfRule>
  </conditionalFormatting>
  <conditionalFormatting sqref="H54">
    <cfRule type="containsText" dxfId="5" priority="8" operator="containsText" text="No">
      <formula>NOT(ISERROR(SEARCH("No",H54)))</formula>
    </cfRule>
    <cfRule type="containsText" dxfId="4" priority="9" operator="containsText" text="Yes">
      <formula>NOT(ISERROR(SEARCH("Yes",H54)))</formula>
    </cfRule>
  </conditionalFormatting>
  <conditionalFormatting sqref="H54">
    <cfRule type="containsText" dxfId="3" priority="7" operator="containsText" text="Ecoinvent">
      <formula>NOT(ISERROR(SEARCH("Ecoinvent",H54)))</formula>
    </cfRule>
  </conditionalFormatting>
  <hyperlinks>
    <hyperlink ref="F3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row r="1" spans="1:1" x14ac:dyDescent="0.25">
      <c r="A1" t="s">
        <v>786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61"/>
  <sheetViews>
    <sheetView topLeftCell="A25" workbookViewId="0">
      <selection activeCell="E47" sqref="E47"/>
    </sheetView>
  </sheetViews>
  <sheetFormatPr defaultRowHeight="15" x14ac:dyDescent="0.25"/>
  <cols>
    <col min="1" max="1" width="24.85546875" bestFit="1" customWidth="1"/>
    <col min="2" max="2" width="26.28515625" bestFit="1" customWidth="1"/>
  </cols>
  <sheetData>
    <row r="1" spans="1:22" x14ac:dyDescent="0.25">
      <c r="A1" t="s">
        <v>775</v>
      </c>
      <c r="V1" s="26" t="s">
        <v>776</v>
      </c>
    </row>
    <row r="43" spans="1:3" x14ac:dyDescent="0.25">
      <c r="A43" s="41" t="s">
        <v>21</v>
      </c>
      <c r="B43" s="42" t="s">
        <v>83</v>
      </c>
      <c r="C43" t="s">
        <v>777</v>
      </c>
    </row>
    <row r="44" spans="1:3" x14ac:dyDescent="0.25">
      <c r="A44" s="39" t="s">
        <v>21</v>
      </c>
      <c r="B44" s="40" t="s">
        <v>85</v>
      </c>
      <c r="C44" t="s">
        <v>777</v>
      </c>
    </row>
    <row r="45" spans="1:3" x14ac:dyDescent="0.25">
      <c r="A45" s="41" t="s">
        <v>21</v>
      </c>
      <c r="B45" s="42" t="s">
        <v>116</v>
      </c>
      <c r="C45" t="s">
        <v>778</v>
      </c>
    </row>
    <row r="46" spans="1:3" x14ac:dyDescent="0.25">
      <c r="A46" s="39" t="s">
        <v>21</v>
      </c>
      <c r="B46" s="40" t="s">
        <v>86</v>
      </c>
      <c r="C46" t="s">
        <v>778</v>
      </c>
    </row>
    <row r="47" spans="1:3" x14ac:dyDescent="0.25">
      <c r="A47" s="41" t="s">
        <v>21</v>
      </c>
      <c r="B47" s="42" t="s">
        <v>159</v>
      </c>
      <c r="C47" t="s">
        <v>372</v>
      </c>
    </row>
    <row r="48" spans="1:3" x14ac:dyDescent="0.25">
      <c r="A48" s="39" t="s">
        <v>21</v>
      </c>
      <c r="B48" s="40" t="s">
        <v>160</v>
      </c>
      <c r="C48" t="s">
        <v>777</v>
      </c>
    </row>
    <row r="49" spans="1:4" x14ac:dyDescent="0.25">
      <c r="A49" s="41" t="s">
        <v>21</v>
      </c>
      <c r="B49" s="42" t="s">
        <v>154</v>
      </c>
      <c r="C49" t="s">
        <v>778</v>
      </c>
    </row>
    <row r="50" spans="1:4" x14ac:dyDescent="0.25">
      <c r="A50" s="39" t="s">
        <v>21</v>
      </c>
      <c r="B50" s="40" t="s">
        <v>98</v>
      </c>
      <c r="C50" t="s">
        <v>777</v>
      </c>
    </row>
    <row r="51" spans="1:4" x14ac:dyDescent="0.25">
      <c r="A51" s="41" t="s">
        <v>21</v>
      </c>
      <c r="B51" s="42" t="s">
        <v>141</v>
      </c>
      <c r="C51" t="s">
        <v>777</v>
      </c>
    </row>
    <row r="52" spans="1:4" x14ac:dyDescent="0.25">
      <c r="A52" s="39" t="s">
        <v>21</v>
      </c>
      <c r="B52" s="40" t="s">
        <v>161</v>
      </c>
      <c r="C52" t="s">
        <v>778</v>
      </c>
      <c r="D52" t="s">
        <v>779</v>
      </c>
    </row>
    <row r="53" spans="1:4" x14ac:dyDescent="0.25">
      <c r="A53" s="41" t="s">
        <v>21</v>
      </c>
      <c r="B53" s="42" t="s">
        <v>162</v>
      </c>
      <c r="C53" t="s">
        <v>777</v>
      </c>
    </row>
    <row r="54" spans="1:4" x14ac:dyDescent="0.25">
      <c r="A54" s="39" t="s">
        <v>21</v>
      </c>
      <c r="B54" s="40" t="s">
        <v>155</v>
      </c>
      <c r="C54" t="s">
        <v>777</v>
      </c>
    </row>
    <row r="55" spans="1:4" x14ac:dyDescent="0.25">
      <c r="A55" s="41" t="s">
        <v>21</v>
      </c>
      <c r="B55" s="42" t="s">
        <v>156</v>
      </c>
      <c r="C55" t="s">
        <v>777</v>
      </c>
    </row>
    <row r="56" spans="1:4" x14ac:dyDescent="0.25">
      <c r="A56" s="39" t="s">
        <v>21</v>
      </c>
      <c r="B56" s="40" t="s">
        <v>107</v>
      </c>
      <c r="C56" t="s">
        <v>778</v>
      </c>
    </row>
    <row r="57" spans="1:4" x14ac:dyDescent="0.25">
      <c r="A57" s="41" t="s">
        <v>21</v>
      </c>
      <c r="B57" s="42" t="s">
        <v>137</v>
      </c>
      <c r="C57" t="s">
        <v>778</v>
      </c>
    </row>
    <row r="58" spans="1:4" x14ac:dyDescent="0.25">
      <c r="A58" s="39" t="s">
        <v>21</v>
      </c>
      <c r="B58" s="40" t="s">
        <v>112</v>
      </c>
      <c r="C58" t="s">
        <v>777</v>
      </c>
    </row>
    <row r="59" spans="1:4" x14ac:dyDescent="0.25">
      <c r="A59" s="41" t="s">
        <v>21</v>
      </c>
      <c r="B59" s="42" t="s">
        <v>113</v>
      </c>
      <c r="C59" t="s">
        <v>778</v>
      </c>
    </row>
    <row r="60" spans="1:4" x14ac:dyDescent="0.25">
      <c r="A60" s="39" t="s">
        <v>21</v>
      </c>
      <c r="B60" s="40" t="s">
        <v>143</v>
      </c>
      <c r="C60" t="s">
        <v>372</v>
      </c>
    </row>
    <row r="61" spans="1:4" x14ac:dyDescent="0.25">
      <c r="A61" s="41" t="s">
        <v>21</v>
      </c>
      <c r="B61" s="42" t="s">
        <v>158</v>
      </c>
      <c r="C61" t="s">
        <v>778</v>
      </c>
    </row>
  </sheetData>
  <hyperlinks>
    <hyperlink ref="V1" r:id="rId1"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507"/>
  <sheetViews>
    <sheetView workbookViewId="0">
      <pane ySplit="1" topLeftCell="A2" activePane="bottomLeft" state="frozen"/>
      <selection pane="bottomLeft" activeCell="A687" sqref="A687"/>
    </sheetView>
  </sheetViews>
  <sheetFormatPr defaultRowHeight="15" x14ac:dyDescent="0.25"/>
  <cols>
    <col min="1" max="1" width="44.85546875" bestFit="1" customWidth="1"/>
    <col min="2" max="2" width="10.140625" customWidth="1"/>
    <col min="3" max="12" width="11.5703125" customWidth="1"/>
    <col min="13" max="13" width="17" customWidth="1"/>
    <col min="14" max="14" width="18.140625" style="4"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x14ac:dyDescent="0.25">
      <c r="A2" t="s">
        <v>82</v>
      </c>
      <c r="B2" t="s">
        <v>183</v>
      </c>
      <c r="C2">
        <v>8090</v>
      </c>
      <c r="D2">
        <v>7000</v>
      </c>
      <c r="E2">
        <v>6976</v>
      </c>
      <c r="F2">
        <v>7086</v>
      </c>
      <c r="G2">
        <v>3101</v>
      </c>
      <c r="H2">
        <v>1472</v>
      </c>
      <c r="I2">
        <v>2045</v>
      </c>
      <c r="J2">
        <v>543</v>
      </c>
      <c r="K2">
        <v>0</v>
      </c>
      <c r="L2">
        <v>0</v>
      </c>
      <c r="M2">
        <v>4060</v>
      </c>
      <c r="N2" s="2">
        <v>5.9552410536364508E-5</v>
      </c>
    </row>
    <row r="3" spans="1:14" hidden="1" x14ac:dyDescent="0.25">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x14ac:dyDescent="0.25">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x14ac:dyDescent="0.25">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x14ac:dyDescent="0.25">
      <c r="A6" t="s">
        <v>82</v>
      </c>
      <c r="B6" t="s">
        <v>147</v>
      </c>
      <c r="C6">
        <v>73100</v>
      </c>
      <c r="D6">
        <v>69600</v>
      </c>
      <c r="E6">
        <v>76293</v>
      </c>
      <c r="F6">
        <v>75095</v>
      </c>
      <c r="G6">
        <v>75811</v>
      </c>
      <c r="H6">
        <v>73715</v>
      </c>
      <c r="I6">
        <v>75150</v>
      </c>
      <c r="J6">
        <v>73512</v>
      </c>
      <c r="K6">
        <v>74500</v>
      </c>
      <c r="L6">
        <v>74500</v>
      </c>
      <c r="M6">
        <v>371377</v>
      </c>
      <c r="N6" s="2">
        <v>5.4473880708776953E-3</v>
      </c>
    </row>
    <row r="7" spans="1:14" hidden="1" x14ac:dyDescent="0.25">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x14ac:dyDescent="0.25">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x14ac:dyDescent="0.25">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x14ac:dyDescent="0.25">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x14ac:dyDescent="0.25">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x14ac:dyDescent="0.25">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x14ac:dyDescent="0.25">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x14ac:dyDescent="0.25">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x14ac:dyDescent="0.25">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x14ac:dyDescent="0.25">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x14ac:dyDescent="0.25">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x14ac:dyDescent="0.25">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x14ac:dyDescent="0.25">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x14ac:dyDescent="0.25">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x14ac:dyDescent="0.25">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x14ac:dyDescent="0.25">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x14ac:dyDescent="0.25">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x14ac:dyDescent="0.25">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x14ac:dyDescent="0.25">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x14ac:dyDescent="0.25">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x14ac:dyDescent="0.25">
      <c r="A27" t="s">
        <v>82</v>
      </c>
      <c r="B27" t="s">
        <v>215</v>
      </c>
      <c r="C27">
        <v>101263</v>
      </c>
      <c r="D27">
        <v>76576</v>
      </c>
      <c r="E27">
        <v>65694</v>
      </c>
      <c r="F27">
        <v>74121</v>
      </c>
      <c r="G27">
        <v>72813</v>
      </c>
      <c r="H27">
        <v>30018</v>
      </c>
      <c r="I27">
        <v>0</v>
      </c>
      <c r="J27">
        <v>0</v>
      </c>
      <c r="K27">
        <v>0</v>
      </c>
      <c r="L27">
        <v>0</v>
      </c>
      <c r="M27">
        <v>30018</v>
      </c>
      <c r="N27" s="2">
        <v>4.40306467852362E-4</v>
      </c>
    </row>
    <row r="28" spans="1:14" hidden="1" x14ac:dyDescent="0.25">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x14ac:dyDescent="0.25">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x14ac:dyDescent="0.25">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x14ac:dyDescent="0.25">
      <c r="A31" t="s">
        <v>81</v>
      </c>
      <c r="B31" t="s">
        <v>183</v>
      </c>
      <c r="D31">
        <v>0</v>
      </c>
      <c r="E31">
        <v>0</v>
      </c>
      <c r="F31">
        <v>50</v>
      </c>
      <c r="G31">
        <v>314</v>
      </c>
      <c r="H31">
        <v>500</v>
      </c>
      <c r="I31">
        <v>500</v>
      </c>
      <c r="J31">
        <v>1000</v>
      </c>
      <c r="K31">
        <v>1600</v>
      </c>
      <c r="L31">
        <v>500</v>
      </c>
      <c r="M31">
        <v>4100</v>
      </c>
      <c r="N31" s="2">
        <v>6.5215044461788111E-5</v>
      </c>
    </row>
    <row r="32" spans="1:14" hidden="1" x14ac:dyDescent="0.25">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x14ac:dyDescent="0.25">
      <c r="A33" t="s">
        <v>81</v>
      </c>
      <c r="B33" t="s">
        <v>164</v>
      </c>
      <c r="C33">
        <v>9729</v>
      </c>
      <c r="D33">
        <v>9570</v>
      </c>
      <c r="E33">
        <v>8825</v>
      </c>
      <c r="F33">
        <v>6791</v>
      </c>
      <c r="G33">
        <v>4735</v>
      </c>
      <c r="H33">
        <v>5784</v>
      </c>
      <c r="I33">
        <v>6497</v>
      </c>
      <c r="J33">
        <v>6743</v>
      </c>
      <c r="K33">
        <v>7758</v>
      </c>
      <c r="L33">
        <v>6373</v>
      </c>
      <c r="M33">
        <v>33155</v>
      </c>
      <c r="N33" s="2">
        <v>5.273670241781914E-4</v>
      </c>
    </row>
    <row r="34" spans="1:14" hidden="1" x14ac:dyDescent="0.25">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x14ac:dyDescent="0.25">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x14ac:dyDescent="0.25">
      <c r="A36" t="s">
        <v>81</v>
      </c>
      <c r="B36" t="s">
        <v>84</v>
      </c>
      <c r="C36">
        <v>7600</v>
      </c>
      <c r="D36">
        <v>9102</v>
      </c>
      <c r="E36">
        <v>7837</v>
      </c>
      <c r="F36">
        <v>8946</v>
      </c>
      <c r="G36">
        <v>9670</v>
      </c>
      <c r="H36">
        <v>10235</v>
      </c>
      <c r="I36">
        <v>10603</v>
      </c>
      <c r="J36">
        <v>6440</v>
      </c>
      <c r="K36">
        <v>4849</v>
      </c>
      <c r="L36">
        <v>5309</v>
      </c>
      <c r="M36">
        <v>37436</v>
      </c>
      <c r="N36" s="2">
        <v>5.9546107426134136E-4</v>
      </c>
    </row>
    <row r="37" spans="1:14" hidden="1" x14ac:dyDescent="0.25">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x14ac:dyDescent="0.25">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x14ac:dyDescent="0.25">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x14ac:dyDescent="0.25">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x14ac:dyDescent="0.25">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x14ac:dyDescent="0.25">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x14ac:dyDescent="0.25">
      <c r="A43" t="s">
        <v>81</v>
      </c>
      <c r="B43" t="s">
        <v>189</v>
      </c>
      <c r="G43">
        <v>300</v>
      </c>
      <c r="H43">
        <v>4300</v>
      </c>
      <c r="I43">
        <v>500</v>
      </c>
      <c r="J43">
        <v>4800</v>
      </c>
      <c r="K43">
        <v>1100</v>
      </c>
      <c r="L43">
        <v>2600</v>
      </c>
      <c r="M43">
        <v>13300</v>
      </c>
      <c r="N43" s="2">
        <v>2.115512417906785E-4</v>
      </c>
    </row>
    <row r="44" spans="1:14" hidden="1" x14ac:dyDescent="0.25">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x14ac:dyDescent="0.25">
      <c r="A45" t="s">
        <v>81</v>
      </c>
      <c r="B45" t="s">
        <v>160</v>
      </c>
      <c r="E45">
        <v>0</v>
      </c>
      <c r="F45">
        <v>0</v>
      </c>
      <c r="G45">
        <v>0</v>
      </c>
      <c r="H45">
        <v>2900</v>
      </c>
      <c r="I45">
        <v>42000</v>
      </c>
      <c r="J45">
        <v>57800</v>
      </c>
      <c r="K45">
        <v>57700</v>
      </c>
      <c r="L45">
        <v>45000</v>
      </c>
      <c r="M45">
        <v>205400</v>
      </c>
      <c r="N45" s="2">
        <v>3.2671146664515309E-3</v>
      </c>
    </row>
    <row r="46" spans="1:14" hidden="1" x14ac:dyDescent="0.25">
      <c r="A46" t="s">
        <v>81</v>
      </c>
      <c r="B46" t="s">
        <v>89</v>
      </c>
      <c r="C46">
        <v>0</v>
      </c>
      <c r="D46">
        <v>0</v>
      </c>
      <c r="E46">
        <v>0</v>
      </c>
      <c r="F46">
        <v>4655</v>
      </c>
      <c r="G46">
        <v>3636</v>
      </c>
      <c r="H46">
        <v>3920</v>
      </c>
      <c r="I46">
        <v>4038</v>
      </c>
      <c r="J46">
        <v>5527</v>
      </c>
      <c r="K46">
        <v>2361</v>
      </c>
      <c r="L46">
        <v>4896</v>
      </c>
      <c r="M46">
        <v>20742</v>
      </c>
      <c r="N46" s="2">
        <v>3.2992450054302662E-4</v>
      </c>
    </row>
    <row r="47" spans="1:14" hidden="1" x14ac:dyDescent="0.25">
      <c r="A47" t="s">
        <v>81</v>
      </c>
      <c r="B47" t="s">
        <v>168</v>
      </c>
      <c r="C47">
        <v>0</v>
      </c>
      <c r="D47">
        <v>0</v>
      </c>
      <c r="E47">
        <v>0</v>
      </c>
      <c r="F47">
        <v>0</v>
      </c>
      <c r="G47">
        <v>40900</v>
      </c>
      <c r="H47">
        <v>95400</v>
      </c>
      <c r="I47">
        <v>125000</v>
      </c>
      <c r="J47">
        <v>121260</v>
      </c>
      <c r="K47">
        <v>121930</v>
      </c>
      <c r="L47">
        <v>129641</v>
      </c>
      <c r="M47">
        <v>593231</v>
      </c>
      <c r="N47" s="2">
        <v>9.4359965953929332E-3</v>
      </c>
    </row>
    <row r="48" spans="1:14" hidden="1" x14ac:dyDescent="0.25">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x14ac:dyDescent="0.25">
      <c r="A49" t="s">
        <v>81</v>
      </c>
      <c r="B49" t="s">
        <v>169</v>
      </c>
      <c r="H49">
        <v>0</v>
      </c>
      <c r="I49">
        <v>0</v>
      </c>
      <c r="J49">
        <v>0</v>
      </c>
      <c r="K49">
        <v>2243</v>
      </c>
      <c r="L49">
        <v>2059</v>
      </c>
      <c r="M49">
        <v>4302</v>
      </c>
      <c r="N49" s="2">
        <v>6.8428078359661576E-5</v>
      </c>
    </row>
    <row r="50" spans="1:14" hidden="1" x14ac:dyDescent="0.25">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x14ac:dyDescent="0.25">
      <c r="A51" t="s">
        <v>81</v>
      </c>
      <c r="B51" t="s">
        <v>196</v>
      </c>
      <c r="C51">
        <v>442</v>
      </c>
      <c r="D51">
        <v>1221</v>
      </c>
      <c r="E51">
        <v>13394</v>
      </c>
      <c r="F51">
        <v>14810</v>
      </c>
      <c r="G51">
        <v>14975</v>
      </c>
      <c r="H51">
        <v>6100</v>
      </c>
      <c r="I51">
        <v>0</v>
      </c>
      <c r="J51">
        <v>0</v>
      </c>
      <c r="K51">
        <v>0</v>
      </c>
      <c r="L51">
        <v>0</v>
      </c>
      <c r="M51">
        <v>6100</v>
      </c>
      <c r="N51" s="2">
        <v>9.7027261272416453E-5</v>
      </c>
    </row>
    <row r="52" spans="1:14" hidden="1" x14ac:dyDescent="0.25">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x14ac:dyDescent="0.25">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x14ac:dyDescent="0.25">
      <c r="A54" t="s">
        <v>81</v>
      </c>
      <c r="B54" t="s">
        <v>98</v>
      </c>
      <c r="D54">
        <v>1200</v>
      </c>
      <c r="E54">
        <v>700</v>
      </c>
      <c r="F54">
        <v>19300</v>
      </c>
      <c r="G54">
        <v>8500</v>
      </c>
      <c r="H54">
        <v>13900</v>
      </c>
      <c r="I54">
        <v>20100</v>
      </c>
      <c r="J54">
        <v>26200</v>
      </c>
      <c r="K54">
        <v>17420</v>
      </c>
      <c r="L54">
        <v>15151</v>
      </c>
      <c r="M54">
        <v>92771</v>
      </c>
      <c r="N54" s="2">
        <v>1.4756255828694009E-3</v>
      </c>
    </row>
    <row r="55" spans="1:14" hidden="1" x14ac:dyDescent="0.25">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x14ac:dyDescent="0.25">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x14ac:dyDescent="0.25">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x14ac:dyDescent="0.25">
      <c r="A58" t="s">
        <v>81</v>
      </c>
      <c r="B58" t="s">
        <v>148</v>
      </c>
      <c r="C58">
        <v>1434</v>
      </c>
      <c r="D58">
        <v>1749</v>
      </c>
      <c r="E58">
        <v>1919</v>
      </c>
      <c r="F58">
        <v>2070</v>
      </c>
      <c r="G58">
        <v>2257</v>
      </c>
      <c r="H58">
        <v>3321</v>
      </c>
      <c r="I58">
        <v>3656</v>
      </c>
      <c r="J58">
        <v>4106</v>
      </c>
      <c r="K58">
        <v>4252</v>
      </c>
      <c r="L58">
        <v>4371</v>
      </c>
      <c r="M58">
        <v>19706</v>
      </c>
      <c r="N58" s="2">
        <v>3.134457722351211E-4</v>
      </c>
    </row>
    <row r="59" spans="1:14" hidden="1" x14ac:dyDescent="0.25">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x14ac:dyDescent="0.25">
      <c r="A60" t="s">
        <v>81</v>
      </c>
      <c r="B60" t="s">
        <v>230</v>
      </c>
      <c r="C60">
        <v>3818</v>
      </c>
      <c r="D60">
        <v>4983</v>
      </c>
      <c r="E60">
        <v>5514</v>
      </c>
      <c r="F60">
        <v>3986</v>
      </c>
      <c r="G60">
        <v>4814</v>
      </c>
      <c r="H60">
        <v>4468</v>
      </c>
      <c r="I60">
        <v>3619</v>
      </c>
      <c r="J60">
        <v>3089</v>
      </c>
      <c r="K60">
        <v>3909</v>
      </c>
      <c r="L60">
        <v>4513</v>
      </c>
      <c r="M60">
        <v>19598</v>
      </c>
      <c r="N60" s="2">
        <v>3.1172791252734718E-4</v>
      </c>
    </row>
    <row r="61" spans="1:14" hidden="1" x14ac:dyDescent="0.25">
      <c r="A61" t="s">
        <v>81</v>
      </c>
      <c r="B61" t="s">
        <v>171</v>
      </c>
      <c r="C61">
        <v>883</v>
      </c>
      <c r="D61">
        <v>1900</v>
      </c>
      <c r="E61">
        <v>2000</v>
      </c>
      <c r="F61">
        <v>0</v>
      </c>
      <c r="G61">
        <v>700</v>
      </c>
      <c r="H61">
        <v>5700</v>
      </c>
      <c r="I61">
        <v>3100</v>
      </c>
      <c r="J61">
        <v>1300</v>
      </c>
      <c r="K61">
        <v>1200</v>
      </c>
      <c r="L61">
        <v>5400</v>
      </c>
      <c r="M61">
        <v>16700</v>
      </c>
      <c r="N61" s="2">
        <v>2.6563201036874668E-4</v>
      </c>
    </row>
    <row r="62" spans="1:14" hidden="1" x14ac:dyDescent="0.25">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x14ac:dyDescent="0.25">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x14ac:dyDescent="0.25">
      <c r="A64" t="s">
        <v>81</v>
      </c>
      <c r="B64" t="s">
        <v>104</v>
      </c>
      <c r="C64">
        <v>4677</v>
      </c>
      <c r="D64">
        <v>5487</v>
      </c>
      <c r="E64">
        <v>7200</v>
      </c>
      <c r="F64">
        <v>7068</v>
      </c>
      <c r="G64">
        <v>8100</v>
      </c>
      <c r="H64">
        <v>8800</v>
      </c>
      <c r="I64">
        <v>10668</v>
      </c>
      <c r="J64">
        <v>9518</v>
      </c>
      <c r="K64">
        <v>10133</v>
      </c>
      <c r="L64">
        <v>9357</v>
      </c>
      <c r="M64">
        <v>48476</v>
      </c>
      <c r="N64" s="2">
        <v>7.7106451105600992E-4</v>
      </c>
    </row>
    <row r="65" spans="1:14" hidden="1" x14ac:dyDescent="0.25">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x14ac:dyDescent="0.25">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x14ac:dyDescent="0.25">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x14ac:dyDescent="0.25">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x14ac:dyDescent="0.25">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x14ac:dyDescent="0.25">
      <c r="A70" t="s">
        <v>81</v>
      </c>
      <c r="B70" t="s">
        <v>106</v>
      </c>
      <c r="C70">
        <v>10024</v>
      </c>
      <c r="D70">
        <v>0</v>
      </c>
      <c r="E70">
        <v>0</v>
      </c>
      <c r="F70">
        <v>0</v>
      </c>
      <c r="G70">
        <v>7702</v>
      </c>
      <c r="H70">
        <v>19457</v>
      </c>
      <c r="I70">
        <v>26979</v>
      </c>
      <c r="J70">
        <v>37365</v>
      </c>
      <c r="K70">
        <v>17527</v>
      </c>
      <c r="L70">
        <v>17700</v>
      </c>
      <c r="M70">
        <v>119028</v>
      </c>
      <c r="N70" s="2">
        <v>1.8932722712677349E-3</v>
      </c>
    </row>
    <row r="71" spans="1:14" hidden="1" x14ac:dyDescent="0.25">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x14ac:dyDescent="0.25">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x14ac:dyDescent="0.25">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x14ac:dyDescent="0.25">
      <c r="A74" t="s">
        <v>81</v>
      </c>
      <c r="B74" t="s">
        <v>120</v>
      </c>
      <c r="C74">
        <v>8400</v>
      </c>
      <c r="D74">
        <v>2000</v>
      </c>
      <c r="E74">
        <v>3300</v>
      </c>
      <c r="F74">
        <v>3000</v>
      </c>
      <c r="G74">
        <v>1600</v>
      </c>
      <c r="H74">
        <v>800</v>
      </c>
      <c r="I74">
        <v>600</v>
      </c>
      <c r="J74">
        <v>1300</v>
      </c>
      <c r="K74">
        <v>100</v>
      </c>
      <c r="L74">
        <v>2500</v>
      </c>
      <c r="M74">
        <v>5300</v>
      </c>
      <c r="N74" s="2">
        <v>8.4302374548165114E-5</v>
      </c>
    </row>
    <row r="75" spans="1:14" hidden="1" x14ac:dyDescent="0.25">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x14ac:dyDescent="0.25">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x14ac:dyDescent="0.25">
      <c r="A77" t="s">
        <v>81</v>
      </c>
      <c r="B77" t="s">
        <v>179</v>
      </c>
      <c r="C77">
        <v>6000</v>
      </c>
      <c r="D77">
        <v>5800</v>
      </c>
      <c r="E77">
        <v>8400</v>
      </c>
      <c r="F77">
        <v>4400</v>
      </c>
      <c r="G77">
        <v>6200</v>
      </c>
      <c r="H77">
        <v>11900</v>
      </c>
      <c r="I77">
        <v>11800</v>
      </c>
      <c r="J77">
        <v>6900</v>
      </c>
      <c r="K77">
        <v>6500</v>
      </c>
      <c r="L77">
        <v>6400</v>
      </c>
      <c r="M77">
        <v>43500</v>
      </c>
      <c r="N77" s="2">
        <v>6.919157156311665E-4</v>
      </c>
    </row>
    <row r="78" spans="1:14" hidden="1" x14ac:dyDescent="0.25">
      <c r="A78" t="s">
        <v>81</v>
      </c>
      <c r="B78" t="s">
        <v>135</v>
      </c>
      <c r="C78">
        <v>134</v>
      </c>
      <c r="D78">
        <v>190</v>
      </c>
      <c r="E78">
        <v>176</v>
      </c>
      <c r="F78">
        <v>190</v>
      </c>
      <c r="G78">
        <v>126</v>
      </c>
      <c r="H78">
        <v>166</v>
      </c>
      <c r="I78">
        <v>151</v>
      </c>
      <c r="J78">
        <v>119</v>
      </c>
      <c r="K78">
        <v>96</v>
      </c>
      <c r="L78">
        <v>25</v>
      </c>
      <c r="M78">
        <v>557</v>
      </c>
      <c r="N78" s="2">
        <v>8.8597023817599954E-6</v>
      </c>
    </row>
    <row r="79" spans="1:14" hidden="1" x14ac:dyDescent="0.25">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x14ac:dyDescent="0.25">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x14ac:dyDescent="0.25">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x14ac:dyDescent="0.25">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x14ac:dyDescent="0.25">
      <c r="A83" t="s">
        <v>81</v>
      </c>
      <c r="B83" t="s">
        <v>215</v>
      </c>
      <c r="C83">
        <v>24996</v>
      </c>
      <c r="D83">
        <v>25887</v>
      </c>
      <c r="E83">
        <v>34033</v>
      </c>
      <c r="F83">
        <v>27154</v>
      </c>
      <c r="G83">
        <v>33983</v>
      </c>
      <c r="H83">
        <v>1182</v>
      </c>
      <c r="I83">
        <v>0</v>
      </c>
      <c r="J83">
        <v>0</v>
      </c>
      <c r="K83">
        <v>0</v>
      </c>
      <c r="L83">
        <v>0</v>
      </c>
      <c r="M83">
        <v>1182</v>
      </c>
      <c r="N83" s="2">
        <v>1.8801020135081352E-5</v>
      </c>
    </row>
    <row r="84" spans="1:14" hidden="1" x14ac:dyDescent="0.25">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x14ac:dyDescent="0.25">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x14ac:dyDescent="0.25">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x14ac:dyDescent="0.25">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x14ac:dyDescent="0.25">
      <c r="A88" t="s">
        <v>81</v>
      </c>
      <c r="B88" t="s">
        <v>143</v>
      </c>
      <c r="F88">
        <v>0</v>
      </c>
      <c r="G88">
        <v>0</v>
      </c>
      <c r="H88">
        <v>0</v>
      </c>
      <c r="I88">
        <v>0</v>
      </c>
      <c r="J88">
        <v>44</v>
      </c>
      <c r="K88">
        <v>1500</v>
      </c>
      <c r="L88">
        <v>0</v>
      </c>
      <c r="M88">
        <v>1544</v>
      </c>
      <c r="N88" s="2">
        <v>2.4559031377805082E-5</v>
      </c>
    </row>
    <row r="89" spans="1:14" hidden="1" x14ac:dyDescent="0.25">
      <c r="A89" t="s">
        <v>80</v>
      </c>
      <c r="B89" t="s">
        <v>85</v>
      </c>
      <c r="C89">
        <v>0</v>
      </c>
      <c r="D89">
        <v>0</v>
      </c>
      <c r="E89">
        <v>578</v>
      </c>
      <c r="F89">
        <v>3254</v>
      </c>
      <c r="G89">
        <v>4461</v>
      </c>
      <c r="H89">
        <v>5206</v>
      </c>
      <c r="I89">
        <v>5505</v>
      </c>
      <c r="J89">
        <v>5923</v>
      </c>
      <c r="K89">
        <v>6622</v>
      </c>
      <c r="L89">
        <v>5779</v>
      </c>
      <c r="M89">
        <v>29035</v>
      </c>
      <c r="N89" s="2">
        <v>5.9688513738534087E-2</v>
      </c>
    </row>
    <row r="90" spans="1:14" hidden="1" x14ac:dyDescent="0.25">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x14ac:dyDescent="0.25">
      <c r="A91" t="s">
        <v>80</v>
      </c>
      <c r="B91" t="s">
        <v>97</v>
      </c>
      <c r="F91">
        <v>1124</v>
      </c>
      <c r="G91">
        <v>1125</v>
      </c>
      <c r="H91">
        <v>400</v>
      </c>
      <c r="I91">
        <v>442</v>
      </c>
      <c r="J91">
        <v>400</v>
      </c>
      <c r="K91">
        <v>400</v>
      </c>
      <c r="L91">
        <v>400</v>
      </c>
      <c r="M91">
        <v>2042</v>
      </c>
      <c r="N91" s="2">
        <v>4.1978283125223559E-3</v>
      </c>
    </row>
    <row r="92" spans="1:14" hidden="1" x14ac:dyDescent="0.25">
      <c r="A92" t="s">
        <v>80</v>
      </c>
      <c r="B92" t="s">
        <v>102</v>
      </c>
      <c r="C92">
        <v>0</v>
      </c>
      <c r="D92">
        <v>0</v>
      </c>
      <c r="E92">
        <v>0</v>
      </c>
      <c r="F92">
        <v>0</v>
      </c>
      <c r="G92">
        <v>0</v>
      </c>
      <c r="H92">
        <v>1000</v>
      </c>
      <c r="I92">
        <v>1000</v>
      </c>
      <c r="J92">
        <v>1000</v>
      </c>
      <c r="K92">
        <v>1000</v>
      </c>
      <c r="L92">
        <v>1000</v>
      </c>
      <c r="M92">
        <v>5000</v>
      </c>
      <c r="N92" s="2">
        <v>1.027871770940832E-2</v>
      </c>
    </row>
    <row r="93" spans="1:14" hidden="1" x14ac:dyDescent="0.25">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x14ac:dyDescent="0.25">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x14ac:dyDescent="0.25">
      <c r="A95" t="s">
        <v>80</v>
      </c>
      <c r="B95" t="s">
        <v>113</v>
      </c>
      <c r="C95">
        <v>106</v>
      </c>
      <c r="D95">
        <v>591</v>
      </c>
      <c r="F95">
        <v>0</v>
      </c>
      <c r="G95">
        <v>0</v>
      </c>
      <c r="H95">
        <v>0</v>
      </c>
      <c r="I95">
        <v>0</v>
      </c>
      <c r="J95">
        <v>460</v>
      </c>
      <c r="K95">
        <v>17</v>
      </c>
      <c r="L95">
        <v>0</v>
      </c>
      <c r="M95">
        <v>477</v>
      </c>
      <c r="N95" s="2">
        <v>9.8058966947755328E-4</v>
      </c>
    </row>
    <row r="96" spans="1:14" hidden="1" x14ac:dyDescent="0.25">
      <c r="A96" t="s">
        <v>79</v>
      </c>
      <c r="B96" t="s">
        <v>83</v>
      </c>
      <c r="C96">
        <v>7010</v>
      </c>
      <c r="D96">
        <v>6393</v>
      </c>
      <c r="E96">
        <v>5100</v>
      </c>
      <c r="F96">
        <v>5656</v>
      </c>
      <c r="G96">
        <v>6235</v>
      </c>
      <c r="H96">
        <v>5713</v>
      </c>
      <c r="I96">
        <v>6562</v>
      </c>
      <c r="J96">
        <v>6553</v>
      </c>
      <c r="K96">
        <v>6168</v>
      </c>
      <c r="L96">
        <v>3794</v>
      </c>
      <c r="M96">
        <v>28790</v>
      </c>
      <c r="N96" s="2">
        <v>0.1091957292674139</v>
      </c>
    </row>
    <row r="97" spans="1:14" hidden="1" x14ac:dyDescent="0.25">
      <c r="A97" t="s">
        <v>79</v>
      </c>
      <c r="B97" t="s">
        <v>85</v>
      </c>
      <c r="C97">
        <v>326</v>
      </c>
      <c r="D97">
        <v>192</v>
      </c>
      <c r="E97">
        <v>55</v>
      </c>
      <c r="F97">
        <v>40</v>
      </c>
      <c r="G97">
        <v>44</v>
      </c>
      <c r="H97">
        <v>0</v>
      </c>
      <c r="I97">
        <v>0</v>
      </c>
      <c r="J97">
        <v>0</v>
      </c>
      <c r="K97">
        <v>15</v>
      </c>
      <c r="L97">
        <v>29</v>
      </c>
      <c r="M97">
        <v>44</v>
      </c>
      <c r="N97" s="2">
        <v>1.668847546983748E-4</v>
      </c>
    </row>
    <row r="98" spans="1:14" hidden="1" x14ac:dyDescent="0.25">
      <c r="A98" t="s">
        <v>79</v>
      </c>
      <c r="B98" t="s">
        <v>116</v>
      </c>
      <c r="C98">
        <v>8998</v>
      </c>
      <c r="D98">
        <v>9331</v>
      </c>
      <c r="E98">
        <v>9101</v>
      </c>
      <c r="F98">
        <v>13324</v>
      </c>
      <c r="G98">
        <v>14037</v>
      </c>
      <c r="H98">
        <v>12433</v>
      </c>
      <c r="I98">
        <v>7320</v>
      </c>
      <c r="J98">
        <v>6871</v>
      </c>
      <c r="K98">
        <v>4085</v>
      </c>
      <c r="L98">
        <v>4616</v>
      </c>
      <c r="M98">
        <v>35325</v>
      </c>
      <c r="N98" s="2">
        <v>0.13398190817545649</v>
      </c>
    </row>
    <row r="99" spans="1:14" hidden="1" x14ac:dyDescent="0.25">
      <c r="A99" t="s">
        <v>79</v>
      </c>
      <c r="B99" t="s">
        <v>86</v>
      </c>
      <c r="C99">
        <v>1500</v>
      </c>
      <c r="D99">
        <v>1500</v>
      </c>
      <c r="E99">
        <v>1500</v>
      </c>
      <c r="F99">
        <v>1616</v>
      </c>
      <c r="G99">
        <v>1616</v>
      </c>
      <c r="H99">
        <v>1692</v>
      </c>
      <c r="I99">
        <v>1885</v>
      </c>
      <c r="J99">
        <v>1885</v>
      </c>
      <c r="K99">
        <v>1885</v>
      </c>
      <c r="L99">
        <v>1885</v>
      </c>
      <c r="M99">
        <v>9232</v>
      </c>
      <c r="N99" s="2">
        <v>3.5015455803986267E-2</v>
      </c>
    </row>
    <row r="100" spans="1:14" hidden="1" x14ac:dyDescent="0.25">
      <c r="A100" t="s">
        <v>79</v>
      </c>
      <c r="B100" t="s">
        <v>217</v>
      </c>
      <c r="C100">
        <v>222</v>
      </c>
      <c r="D100">
        <v>232</v>
      </c>
      <c r="E100">
        <v>165</v>
      </c>
      <c r="F100">
        <v>134</v>
      </c>
      <c r="G100">
        <v>128</v>
      </c>
      <c r="H100">
        <v>59</v>
      </c>
      <c r="I100">
        <v>34</v>
      </c>
      <c r="J100">
        <v>33</v>
      </c>
      <c r="K100">
        <v>29</v>
      </c>
      <c r="L100">
        <v>27</v>
      </c>
      <c r="M100">
        <v>182</v>
      </c>
      <c r="N100" s="2">
        <v>6.9029603079782292E-4</v>
      </c>
    </row>
    <row r="101" spans="1:14" hidden="1" x14ac:dyDescent="0.25">
      <c r="A101" t="s">
        <v>79</v>
      </c>
      <c r="B101" t="s">
        <v>117</v>
      </c>
      <c r="C101">
        <v>50</v>
      </c>
      <c r="D101">
        <v>27</v>
      </c>
      <c r="E101">
        <v>33</v>
      </c>
      <c r="F101">
        <v>0</v>
      </c>
      <c r="G101">
        <v>45</v>
      </c>
      <c r="H101">
        <v>34</v>
      </c>
      <c r="I101">
        <v>0</v>
      </c>
      <c r="J101">
        <v>24</v>
      </c>
      <c r="K101">
        <v>8</v>
      </c>
      <c r="L101">
        <v>0</v>
      </c>
      <c r="M101">
        <v>66</v>
      </c>
      <c r="N101" s="2">
        <v>2.5032713204756218E-4</v>
      </c>
    </row>
    <row r="102" spans="1:14" hidden="1" x14ac:dyDescent="0.25">
      <c r="A102" t="s">
        <v>79</v>
      </c>
      <c r="B102" t="s">
        <v>97</v>
      </c>
      <c r="C102">
        <v>385</v>
      </c>
      <c r="D102">
        <v>385</v>
      </c>
      <c r="E102">
        <v>385</v>
      </c>
      <c r="F102">
        <v>385</v>
      </c>
      <c r="G102">
        <v>385</v>
      </c>
      <c r="H102">
        <v>421</v>
      </c>
      <c r="I102">
        <v>423</v>
      </c>
      <c r="J102">
        <v>308</v>
      </c>
      <c r="K102">
        <v>400</v>
      </c>
      <c r="L102">
        <v>615</v>
      </c>
      <c r="M102">
        <v>2167</v>
      </c>
      <c r="N102" s="2">
        <v>8.2190741688949569E-3</v>
      </c>
    </row>
    <row r="103" spans="1:14" hidden="1" x14ac:dyDescent="0.25">
      <c r="A103" t="s">
        <v>79</v>
      </c>
      <c r="B103" t="s">
        <v>99</v>
      </c>
      <c r="F103">
        <v>38</v>
      </c>
      <c r="G103">
        <v>0</v>
      </c>
      <c r="H103">
        <v>40</v>
      </c>
      <c r="I103">
        <v>71</v>
      </c>
      <c r="J103">
        <v>71</v>
      </c>
      <c r="K103">
        <v>71</v>
      </c>
      <c r="L103">
        <v>71</v>
      </c>
      <c r="M103">
        <v>324</v>
      </c>
      <c r="N103" s="2">
        <v>1.2288786482334869E-3</v>
      </c>
    </row>
    <row r="104" spans="1:14" hidden="1" x14ac:dyDescent="0.25">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x14ac:dyDescent="0.25">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x14ac:dyDescent="0.25">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x14ac:dyDescent="0.25">
      <c r="A107" t="s">
        <v>79</v>
      </c>
      <c r="B107" t="s">
        <v>106</v>
      </c>
      <c r="C107">
        <v>45</v>
      </c>
      <c r="D107">
        <v>45</v>
      </c>
      <c r="E107">
        <v>45</v>
      </c>
      <c r="F107">
        <v>45</v>
      </c>
      <c r="G107">
        <v>45</v>
      </c>
      <c r="H107">
        <v>45</v>
      </c>
      <c r="I107">
        <v>45</v>
      </c>
      <c r="J107">
        <v>45</v>
      </c>
      <c r="K107">
        <v>45</v>
      </c>
      <c r="L107">
        <v>45</v>
      </c>
      <c r="M107">
        <v>225</v>
      </c>
      <c r="N107" s="2">
        <v>8.5338795016214367E-4</v>
      </c>
    </row>
    <row r="108" spans="1:14" hidden="1" x14ac:dyDescent="0.25">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x14ac:dyDescent="0.25">
      <c r="A109" t="s">
        <v>79</v>
      </c>
      <c r="B109" t="s">
        <v>137</v>
      </c>
      <c r="C109">
        <v>467</v>
      </c>
      <c r="D109">
        <v>531</v>
      </c>
      <c r="E109">
        <v>566</v>
      </c>
      <c r="F109">
        <v>448</v>
      </c>
      <c r="G109">
        <v>382</v>
      </c>
      <c r="H109">
        <v>358</v>
      </c>
      <c r="I109">
        <v>196</v>
      </c>
      <c r="J109">
        <v>163</v>
      </c>
      <c r="K109">
        <v>124</v>
      </c>
      <c r="L109">
        <v>153</v>
      </c>
      <c r="M109">
        <v>994</v>
      </c>
      <c r="N109" s="2">
        <v>3.7700783220496479E-3</v>
      </c>
    </row>
    <row r="110" spans="1:14" hidden="1" x14ac:dyDescent="0.25">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x14ac:dyDescent="0.25">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x14ac:dyDescent="0.25">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x14ac:dyDescent="0.25">
      <c r="A113" t="s">
        <v>78</v>
      </c>
      <c r="B113" t="s">
        <v>83</v>
      </c>
      <c r="C113">
        <v>49</v>
      </c>
      <c r="D113">
        <v>296</v>
      </c>
      <c r="E113">
        <v>383</v>
      </c>
      <c r="F113">
        <v>297</v>
      </c>
      <c r="G113">
        <v>208</v>
      </c>
      <c r="H113">
        <v>5</v>
      </c>
      <c r="I113">
        <v>5</v>
      </c>
      <c r="J113">
        <v>5</v>
      </c>
      <c r="K113">
        <v>5</v>
      </c>
      <c r="L113">
        <v>5</v>
      </c>
      <c r="M113">
        <v>25</v>
      </c>
      <c r="N113" s="2">
        <v>5.5796098736776322E-5</v>
      </c>
    </row>
    <row r="114" spans="1:14" hidden="1" x14ac:dyDescent="0.25">
      <c r="A114" t="s">
        <v>78</v>
      </c>
      <c r="B114" t="s">
        <v>181</v>
      </c>
      <c r="C114">
        <v>706</v>
      </c>
      <c r="D114">
        <v>851</v>
      </c>
      <c r="E114">
        <v>830</v>
      </c>
      <c r="F114">
        <v>870</v>
      </c>
      <c r="G114">
        <v>954</v>
      </c>
      <c r="H114">
        <v>975</v>
      </c>
      <c r="I114">
        <v>936</v>
      </c>
      <c r="J114">
        <v>892</v>
      </c>
      <c r="K114">
        <v>896</v>
      </c>
      <c r="L114">
        <v>919</v>
      </c>
      <c r="M114">
        <v>4618</v>
      </c>
      <c r="N114" s="2">
        <v>1.030665535865732E-2</v>
      </c>
    </row>
    <row r="115" spans="1:14" hidden="1" x14ac:dyDescent="0.25">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x14ac:dyDescent="0.25">
      <c r="A116" t="s">
        <v>78</v>
      </c>
      <c r="B116" t="s">
        <v>85</v>
      </c>
      <c r="C116">
        <v>381</v>
      </c>
      <c r="D116">
        <v>494</v>
      </c>
      <c r="E116">
        <v>677</v>
      </c>
      <c r="F116">
        <v>432</v>
      </c>
      <c r="G116">
        <v>323</v>
      </c>
      <c r="H116">
        <v>411</v>
      </c>
      <c r="I116">
        <v>400</v>
      </c>
      <c r="J116">
        <v>400</v>
      </c>
      <c r="K116">
        <v>400</v>
      </c>
      <c r="L116">
        <v>400</v>
      </c>
      <c r="M116">
        <v>2011</v>
      </c>
      <c r="N116" s="2">
        <v>4.4882381823862878E-3</v>
      </c>
    </row>
    <row r="117" spans="1:14" hidden="1" x14ac:dyDescent="0.25">
      <c r="A117" t="s">
        <v>78</v>
      </c>
      <c r="B117" t="s">
        <v>187</v>
      </c>
      <c r="C117">
        <v>565</v>
      </c>
      <c r="D117">
        <v>115</v>
      </c>
      <c r="E117">
        <v>49</v>
      </c>
      <c r="F117">
        <v>30</v>
      </c>
      <c r="G117">
        <v>80</v>
      </c>
      <c r="H117">
        <v>157</v>
      </c>
      <c r="I117">
        <v>118</v>
      </c>
      <c r="J117">
        <v>164</v>
      </c>
      <c r="K117">
        <v>182</v>
      </c>
      <c r="L117">
        <v>185</v>
      </c>
      <c r="M117">
        <v>806</v>
      </c>
      <c r="N117" s="2">
        <v>1.798866223273669E-3</v>
      </c>
    </row>
    <row r="118" spans="1:14" hidden="1" x14ac:dyDescent="0.25">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x14ac:dyDescent="0.25">
      <c r="A119" t="s">
        <v>78</v>
      </c>
      <c r="B119" t="s">
        <v>159</v>
      </c>
      <c r="C119">
        <v>43</v>
      </c>
      <c r="D119">
        <v>70</v>
      </c>
      <c r="E119">
        <v>10</v>
      </c>
      <c r="F119">
        <v>65</v>
      </c>
      <c r="G119">
        <v>93</v>
      </c>
      <c r="H119">
        <v>150</v>
      </c>
      <c r="I119">
        <v>230</v>
      </c>
      <c r="J119">
        <v>246</v>
      </c>
      <c r="K119">
        <v>137</v>
      </c>
      <c r="L119">
        <v>127</v>
      </c>
      <c r="M119">
        <v>890</v>
      </c>
      <c r="N119" s="2">
        <v>1.986341115029237E-3</v>
      </c>
    </row>
    <row r="120" spans="1:14" hidden="1" x14ac:dyDescent="0.25">
      <c r="A120" t="s">
        <v>78</v>
      </c>
      <c r="B120" t="s">
        <v>149</v>
      </c>
      <c r="C120">
        <v>100</v>
      </c>
      <c r="D120">
        <v>65</v>
      </c>
      <c r="E120">
        <v>70</v>
      </c>
      <c r="F120">
        <v>70</v>
      </c>
      <c r="G120">
        <v>50</v>
      </c>
      <c r="H120">
        <v>300</v>
      </c>
      <c r="I120">
        <v>1370</v>
      </c>
      <c r="J120">
        <v>1100</v>
      </c>
      <c r="K120">
        <v>1192</v>
      </c>
      <c r="L120">
        <v>500</v>
      </c>
      <c r="M120">
        <v>4462</v>
      </c>
      <c r="N120" s="2">
        <v>9.958487702539839E-3</v>
      </c>
    </row>
    <row r="121" spans="1:14" hidden="1" x14ac:dyDescent="0.25">
      <c r="A121" t="s">
        <v>78</v>
      </c>
      <c r="B121" t="s">
        <v>170</v>
      </c>
      <c r="C121">
        <v>100</v>
      </c>
      <c r="D121">
        <v>100</v>
      </c>
      <c r="E121">
        <v>100</v>
      </c>
      <c r="F121">
        <v>100</v>
      </c>
      <c r="G121">
        <v>100</v>
      </c>
      <c r="H121">
        <v>100</v>
      </c>
      <c r="I121">
        <v>100</v>
      </c>
      <c r="J121">
        <v>100</v>
      </c>
      <c r="K121">
        <v>100</v>
      </c>
      <c r="L121">
        <v>100</v>
      </c>
      <c r="M121">
        <v>500</v>
      </c>
      <c r="N121" s="2">
        <v>1.115921974735526E-3</v>
      </c>
    </row>
    <row r="122" spans="1:14" hidden="1" x14ac:dyDescent="0.25">
      <c r="A122" t="s">
        <v>78</v>
      </c>
      <c r="B122" t="s">
        <v>150</v>
      </c>
      <c r="E122">
        <v>0</v>
      </c>
      <c r="F122">
        <v>0</v>
      </c>
      <c r="G122">
        <v>0</v>
      </c>
      <c r="H122">
        <v>0</v>
      </c>
      <c r="I122">
        <v>45</v>
      </c>
      <c r="J122">
        <v>15</v>
      </c>
      <c r="K122">
        <v>32</v>
      </c>
      <c r="L122">
        <v>40</v>
      </c>
      <c r="M122">
        <v>132</v>
      </c>
      <c r="N122" s="2">
        <v>2.9460340133017899E-4</v>
      </c>
    </row>
    <row r="123" spans="1:14" hidden="1" x14ac:dyDescent="0.25">
      <c r="A123" t="s">
        <v>78</v>
      </c>
      <c r="B123" t="s">
        <v>173</v>
      </c>
      <c r="C123">
        <v>42</v>
      </c>
      <c r="F123">
        <v>1024</v>
      </c>
      <c r="G123">
        <v>710</v>
      </c>
      <c r="H123">
        <v>660</v>
      </c>
      <c r="I123">
        <v>543</v>
      </c>
      <c r="J123">
        <v>463</v>
      </c>
      <c r="K123">
        <v>42</v>
      </c>
      <c r="L123">
        <v>40</v>
      </c>
      <c r="M123">
        <v>1748</v>
      </c>
      <c r="N123" s="2">
        <v>3.901263223675401E-3</v>
      </c>
    </row>
    <row r="124" spans="1:14" hidden="1" x14ac:dyDescent="0.25">
      <c r="A124" t="s">
        <v>78</v>
      </c>
      <c r="B124" t="s">
        <v>174</v>
      </c>
      <c r="C124">
        <v>130</v>
      </c>
      <c r="D124">
        <v>140</v>
      </c>
      <c r="E124">
        <v>143</v>
      </c>
      <c r="F124">
        <v>169</v>
      </c>
      <c r="G124">
        <v>167</v>
      </c>
      <c r="H124">
        <v>272</v>
      </c>
      <c r="I124">
        <v>303</v>
      </c>
      <c r="J124">
        <v>220</v>
      </c>
      <c r="K124">
        <v>118</v>
      </c>
      <c r="L124">
        <v>71</v>
      </c>
      <c r="M124">
        <v>984</v>
      </c>
      <c r="N124" s="2">
        <v>2.1961344462795161E-3</v>
      </c>
    </row>
    <row r="125" spans="1:14" hidden="1" x14ac:dyDescent="0.25">
      <c r="A125" t="s">
        <v>78</v>
      </c>
      <c r="B125" t="s">
        <v>203</v>
      </c>
      <c r="F125">
        <v>27</v>
      </c>
      <c r="G125">
        <v>8</v>
      </c>
      <c r="H125">
        <v>12</v>
      </c>
      <c r="I125">
        <v>66</v>
      </c>
      <c r="J125">
        <v>13</v>
      </c>
      <c r="K125">
        <v>13</v>
      </c>
      <c r="L125">
        <v>20</v>
      </c>
      <c r="M125">
        <v>124</v>
      </c>
      <c r="N125" s="2">
        <v>2.7674864973441059E-4</v>
      </c>
    </row>
    <row r="126" spans="1:14" hidden="1" x14ac:dyDescent="0.25">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x14ac:dyDescent="0.25">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x14ac:dyDescent="0.25">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x14ac:dyDescent="0.25">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x14ac:dyDescent="0.25">
      <c r="A130" t="s">
        <v>78</v>
      </c>
      <c r="B130" t="s">
        <v>215</v>
      </c>
      <c r="C130">
        <v>85</v>
      </c>
      <c r="D130">
        <v>161</v>
      </c>
      <c r="E130">
        <v>110</v>
      </c>
      <c r="F130">
        <v>38</v>
      </c>
      <c r="G130">
        <v>37</v>
      </c>
      <c r="H130">
        <v>52</v>
      </c>
      <c r="I130">
        <v>81</v>
      </c>
      <c r="J130">
        <v>45</v>
      </c>
      <c r="K130">
        <v>70</v>
      </c>
      <c r="L130">
        <v>72</v>
      </c>
      <c r="M130">
        <v>320</v>
      </c>
      <c r="N130" s="2">
        <v>7.1419006383073699E-4</v>
      </c>
    </row>
    <row r="131" spans="1:14" hidden="1" x14ac:dyDescent="0.25">
      <c r="A131" t="s">
        <v>78</v>
      </c>
      <c r="B131" t="s">
        <v>142</v>
      </c>
      <c r="C131">
        <v>26</v>
      </c>
      <c r="D131">
        <v>44</v>
      </c>
      <c r="E131">
        <v>48</v>
      </c>
      <c r="F131">
        <v>28</v>
      </c>
      <c r="G131">
        <v>32</v>
      </c>
      <c r="H131">
        <v>47</v>
      </c>
      <c r="I131">
        <v>144</v>
      </c>
      <c r="J131">
        <v>110</v>
      </c>
      <c r="K131">
        <v>9</v>
      </c>
      <c r="L131">
        <v>10</v>
      </c>
      <c r="M131">
        <v>320</v>
      </c>
      <c r="N131" s="2">
        <v>7.1419006383073699E-4</v>
      </c>
    </row>
    <row r="132" spans="1:14" hidden="1" x14ac:dyDescent="0.25">
      <c r="A132" t="s">
        <v>78</v>
      </c>
      <c r="B132" t="s">
        <v>140</v>
      </c>
      <c r="C132">
        <v>0</v>
      </c>
      <c r="D132">
        <v>0</v>
      </c>
      <c r="E132">
        <v>0</v>
      </c>
      <c r="F132">
        <v>195</v>
      </c>
      <c r="G132">
        <v>923</v>
      </c>
      <c r="H132">
        <v>1370</v>
      </c>
      <c r="I132">
        <v>1240</v>
      </c>
      <c r="J132">
        <v>0</v>
      </c>
      <c r="K132">
        <v>0</v>
      </c>
      <c r="L132">
        <v>0</v>
      </c>
      <c r="M132">
        <v>2610</v>
      </c>
      <c r="N132" s="2">
        <v>5.825112708119448E-3</v>
      </c>
    </row>
    <row r="133" spans="1:14" hidden="1" x14ac:dyDescent="0.25">
      <c r="A133" t="s">
        <v>78</v>
      </c>
      <c r="B133" t="s">
        <v>180</v>
      </c>
      <c r="C133">
        <v>300</v>
      </c>
      <c r="D133">
        <v>300</v>
      </c>
      <c r="E133">
        <v>300</v>
      </c>
      <c r="F133">
        <v>300</v>
      </c>
      <c r="G133">
        <v>300</v>
      </c>
      <c r="H133">
        <v>300</v>
      </c>
      <c r="I133">
        <v>4</v>
      </c>
      <c r="J133">
        <v>2</v>
      </c>
      <c r="K133">
        <v>2</v>
      </c>
      <c r="L133">
        <v>2</v>
      </c>
      <c r="M133">
        <v>310</v>
      </c>
      <c r="N133" s="2">
        <v>6.9187162433602639E-4</v>
      </c>
    </row>
    <row r="134" spans="1:14" hidden="1" x14ac:dyDescent="0.25">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x14ac:dyDescent="0.25">
      <c r="A135" t="s">
        <v>78</v>
      </c>
      <c r="B135" t="s">
        <v>158</v>
      </c>
      <c r="C135">
        <v>0</v>
      </c>
      <c r="D135">
        <v>0</v>
      </c>
      <c r="E135">
        <v>0</v>
      </c>
      <c r="F135">
        <v>200</v>
      </c>
      <c r="G135">
        <v>1248</v>
      </c>
      <c r="H135">
        <v>1000</v>
      </c>
      <c r="I135">
        <v>0</v>
      </c>
      <c r="J135">
        <v>0</v>
      </c>
      <c r="K135">
        <v>0</v>
      </c>
      <c r="L135">
        <v>0</v>
      </c>
      <c r="M135">
        <v>1000</v>
      </c>
      <c r="N135" s="2">
        <v>2.2318439494710528E-3</v>
      </c>
    </row>
    <row r="136" spans="1:14" hidden="1" x14ac:dyDescent="0.25">
      <c r="A136" t="s">
        <v>73</v>
      </c>
      <c r="B136" t="s">
        <v>83</v>
      </c>
      <c r="D136">
        <v>0</v>
      </c>
      <c r="E136">
        <v>14</v>
      </c>
      <c r="F136">
        <v>22</v>
      </c>
      <c r="G136">
        <v>41</v>
      </c>
      <c r="H136">
        <v>21</v>
      </c>
      <c r="I136">
        <v>82</v>
      </c>
      <c r="J136">
        <v>99</v>
      </c>
      <c r="K136">
        <v>112</v>
      </c>
      <c r="L136">
        <v>73</v>
      </c>
      <c r="M136">
        <v>387</v>
      </c>
      <c r="N136" s="2">
        <v>2.0758060778743739E-4</v>
      </c>
    </row>
    <row r="137" spans="1:14" hidden="1" x14ac:dyDescent="0.25">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x14ac:dyDescent="0.25">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x14ac:dyDescent="0.25">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x14ac:dyDescent="0.25">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x14ac:dyDescent="0.25">
      <c r="A141" t="s">
        <v>73</v>
      </c>
      <c r="B141" t="s">
        <v>97</v>
      </c>
      <c r="C141">
        <v>14</v>
      </c>
      <c r="D141">
        <v>23</v>
      </c>
      <c r="E141">
        <v>9</v>
      </c>
      <c r="F141">
        <v>17</v>
      </c>
      <c r="G141">
        <v>0</v>
      </c>
      <c r="H141">
        <v>14</v>
      </c>
      <c r="I141">
        <v>7</v>
      </c>
      <c r="J141">
        <v>0</v>
      </c>
      <c r="K141">
        <v>0</v>
      </c>
      <c r="L141">
        <v>0</v>
      </c>
      <c r="M141">
        <v>21</v>
      </c>
      <c r="N141" s="2">
        <v>1.1264063988465599E-5</v>
      </c>
    </row>
    <row r="142" spans="1:14" hidden="1" x14ac:dyDescent="0.25">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x14ac:dyDescent="0.25">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x14ac:dyDescent="0.25">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x14ac:dyDescent="0.25">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x14ac:dyDescent="0.25">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x14ac:dyDescent="0.25">
      <c r="A147" t="s">
        <v>73</v>
      </c>
      <c r="B147" t="s">
        <v>107</v>
      </c>
      <c r="C147">
        <v>900</v>
      </c>
      <c r="D147">
        <v>800</v>
      </c>
      <c r="E147">
        <v>0</v>
      </c>
      <c r="F147">
        <v>0</v>
      </c>
      <c r="G147">
        <v>0</v>
      </c>
      <c r="H147">
        <v>800</v>
      </c>
      <c r="I147">
        <v>1100</v>
      </c>
      <c r="J147">
        <v>1400</v>
      </c>
      <c r="K147">
        <v>1600</v>
      </c>
      <c r="L147">
        <v>1800</v>
      </c>
      <c r="M147">
        <v>6700</v>
      </c>
      <c r="N147" s="2">
        <v>3.5937727963199768E-3</v>
      </c>
    </row>
    <row r="148" spans="1:14" hidden="1" x14ac:dyDescent="0.25">
      <c r="A148" t="s">
        <v>73</v>
      </c>
      <c r="B148" t="s">
        <v>204</v>
      </c>
      <c r="C148">
        <v>0</v>
      </c>
      <c r="D148">
        <v>0</v>
      </c>
      <c r="F148">
        <v>0</v>
      </c>
      <c r="G148">
        <v>0</v>
      </c>
      <c r="H148">
        <v>0</v>
      </c>
      <c r="I148">
        <v>0</v>
      </c>
      <c r="J148">
        <v>800</v>
      </c>
      <c r="K148">
        <v>900</v>
      </c>
      <c r="L148">
        <v>1300</v>
      </c>
      <c r="M148">
        <v>3000</v>
      </c>
      <c r="N148" s="2">
        <v>1.609151998352228E-3</v>
      </c>
    </row>
    <row r="149" spans="1:14" hidden="1" x14ac:dyDescent="0.25">
      <c r="A149" t="s">
        <v>73</v>
      </c>
      <c r="B149" t="s">
        <v>208</v>
      </c>
      <c r="D149">
        <v>2400</v>
      </c>
      <c r="E149">
        <v>2600</v>
      </c>
      <c r="F149">
        <v>2700</v>
      </c>
      <c r="G149">
        <v>2800</v>
      </c>
      <c r="H149">
        <v>2800</v>
      </c>
      <c r="I149">
        <v>2800</v>
      </c>
      <c r="J149">
        <v>3800</v>
      </c>
      <c r="K149">
        <v>3700</v>
      </c>
      <c r="L149">
        <v>4000</v>
      </c>
      <c r="M149">
        <v>17100</v>
      </c>
      <c r="N149" s="2">
        <v>9.1721663906077014E-3</v>
      </c>
    </row>
    <row r="150" spans="1:14" hidden="1" x14ac:dyDescent="0.25">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x14ac:dyDescent="0.25">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x14ac:dyDescent="0.25">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x14ac:dyDescent="0.25">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x14ac:dyDescent="0.25">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x14ac:dyDescent="0.25">
      <c r="A155" t="s">
        <v>72</v>
      </c>
      <c r="B155" t="s">
        <v>187</v>
      </c>
      <c r="C155">
        <v>117</v>
      </c>
      <c r="D155">
        <v>56</v>
      </c>
      <c r="E155">
        <v>81</v>
      </c>
      <c r="F155">
        <v>55</v>
      </c>
      <c r="G155">
        <v>51</v>
      </c>
      <c r="H155">
        <v>123</v>
      </c>
      <c r="I155">
        <v>126</v>
      </c>
      <c r="J155">
        <v>143</v>
      </c>
      <c r="K155">
        <v>121</v>
      </c>
      <c r="L155">
        <v>127</v>
      </c>
      <c r="M155">
        <v>640</v>
      </c>
      <c r="N155" s="2">
        <v>4.1924463907294532E-4</v>
      </c>
    </row>
    <row r="156" spans="1:14" hidden="1" x14ac:dyDescent="0.25">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x14ac:dyDescent="0.25">
      <c r="A157" t="s">
        <v>72</v>
      </c>
      <c r="B157" t="s">
        <v>87</v>
      </c>
      <c r="C157">
        <v>0</v>
      </c>
      <c r="D157">
        <v>0</v>
      </c>
      <c r="E157">
        <v>5</v>
      </c>
      <c r="F157">
        <v>2</v>
      </c>
      <c r="G157">
        <v>0</v>
      </c>
      <c r="H157">
        <v>0</v>
      </c>
      <c r="I157">
        <v>0</v>
      </c>
      <c r="J157">
        <v>22</v>
      </c>
      <c r="K157">
        <v>10</v>
      </c>
      <c r="L157">
        <v>0</v>
      </c>
      <c r="M157">
        <v>32</v>
      </c>
      <c r="N157" s="2">
        <v>2.0962231953647269E-5</v>
      </c>
    </row>
    <row r="158" spans="1:14" hidden="1" x14ac:dyDescent="0.25">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x14ac:dyDescent="0.25">
      <c r="A159" t="s">
        <v>72</v>
      </c>
      <c r="B159" t="s">
        <v>97</v>
      </c>
      <c r="C159">
        <v>36</v>
      </c>
      <c r="D159">
        <v>26</v>
      </c>
      <c r="E159">
        <v>19</v>
      </c>
      <c r="F159">
        <v>10</v>
      </c>
      <c r="G159">
        <v>9</v>
      </c>
      <c r="H159">
        <v>13</v>
      </c>
      <c r="I159">
        <v>6</v>
      </c>
      <c r="J159">
        <v>5</v>
      </c>
      <c r="K159">
        <v>3</v>
      </c>
      <c r="L159">
        <v>15</v>
      </c>
      <c r="M159">
        <v>42</v>
      </c>
      <c r="N159" s="2">
        <v>2.7512929439162031E-5</v>
      </c>
    </row>
    <row r="160" spans="1:14" hidden="1" x14ac:dyDescent="0.25">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x14ac:dyDescent="0.25">
      <c r="A161" t="s">
        <v>72</v>
      </c>
      <c r="B161" t="s">
        <v>148</v>
      </c>
      <c r="D161">
        <v>20</v>
      </c>
      <c r="E161">
        <v>68</v>
      </c>
      <c r="F161">
        <v>7</v>
      </c>
      <c r="G161">
        <v>63</v>
      </c>
      <c r="H161">
        <v>8</v>
      </c>
      <c r="I161">
        <v>10</v>
      </c>
      <c r="J161">
        <v>17</v>
      </c>
      <c r="K161">
        <v>1</v>
      </c>
      <c r="L161">
        <v>1</v>
      </c>
      <c r="M161">
        <v>37</v>
      </c>
      <c r="N161" s="2">
        <v>2.423758069640465E-5</v>
      </c>
    </row>
    <row r="162" spans="1:14" hidden="1" x14ac:dyDescent="0.25">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x14ac:dyDescent="0.25">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x14ac:dyDescent="0.25">
      <c r="A164" t="s">
        <v>72</v>
      </c>
      <c r="B164" t="s">
        <v>173</v>
      </c>
      <c r="C164">
        <v>54</v>
      </c>
      <c r="D164">
        <v>60</v>
      </c>
      <c r="E164">
        <v>60</v>
      </c>
      <c r="F164">
        <v>3</v>
      </c>
      <c r="G164">
        <v>25</v>
      </c>
      <c r="H164">
        <v>16</v>
      </c>
      <c r="I164">
        <v>26</v>
      </c>
      <c r="J164">
        <v>20</v>
      </c>
      <c r="K164">
        <v>40</v>
      </c>
      <c r="L164">
        <v>10</v>
      </c>
      <c r="M164">
        <v>112</v>
      </c>
      <c r="N164" s="2">
        <v>7.336781183776542E-5</v>
      </c>
    </row>
    <row r="165" spans="1:14" hidden="1" x14ac:dyDescent="0.25">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x14ac:dyDescent="0.25">
      <c r="A166" t="s">
        <v>72</v>
      </c>
      <c r="B166" t="s">
        <v>175</v>
      </c>
      <c r="F166">
        <v>0</v>
      </c>
      <c r="G166">
        <v>0</v>
      </c>
      <c r="H166">
        <v>0</v>
      </c>
      <c r="I166">
        <v>0</v>
      </c>
      <c r="J166">
        <v>4</v>
      </c>
      <c r="K166">
        <v>284</v>
      </c>
      <c r="L166">
        <v>470</v>
      </c>
      <c r="M166">
        <v>758</v>
      </c>
      <c r="N166" s="2">
        <v>4.9654286940201955E-4</v>
      </c>
    </row>
    <row r="167" spans="1:14" hidden="1" x14ac:dyDescent="0.25">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x14ac:dyDescent="0.25">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x14ac:dyDescent="0.25">
      <c r="A169" t="s">
        <v>72</v>
      </c>
      <c r="B169" t="s">
        <v>178</v>
      </c>
      <c r="C169">
        <v>42</v>
      </c>
      <c r="D169">
        <v>84</v>
      </c>
      <c r="E169">
        <v>75</v>
      </c>
      <c r="F169">
        <v>42</v>
      </c>
      <c r="G169">
        <v>54</v>
      </c>
      <c r="H169">
        <v>81</v>
      </c>
      <c r="I169">
        <v>111</v>
      </c>
      <c r="J169">
        <v>108</v>
      </c>
      <c r="K169">
        <v>104</v>
      </c>
      <c r="L169">
        <v>60</v>
      </c>
      <c r="M169">
        <v>464</v>
      </c>
      <c r="N169" s="2">
        <v>3.0395236332788532E-4</v>
      </c>
    </row>
    <row r="170" spans="1:14" hidden="1" x14ac:dyDescent="0.25">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x14ac:dyDescent="0.25">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x14ac:dyDescent="0.25">
      <c r="A172" t="s">
        <v>72</v>
      </c>
      <c r="B172" t="s">
        <v>121</v>
      </c>
      <c r="C172">
        <v>69</v>
      </c>
      <c r="D172">
        <v>0</v>
      </c>
      <c r="E172">
        <v>0</v>
      </c>
      <c r="F172">
        <v>0</v>
      </c>
      <c r="G172">
        <v>7</v>
      </c>
      <c r="H172">
        <v>23</v>
      </c>
      <c r="I172">
        <v>81</v>
      </c>
      <c r="J172">
        <v>101</v>
      </c>
      <c r="K172">
        <v>115</v>
      </c>
      <c r="L172">
        <v>220</v>
      </c>
      <c r="M172">
        <v>540</v>
      </c>
      <c r="N172" s="2">
        <v>3.5373766421779759E-4</v>
      </c>
    </row>
    <row r="173" spans="1:14" hidden="1" x14ac:dyDescent="0.25">
      <c r="A173" t="s">
        <v>72</v>
      </c>
      <c r="B173" t="s">
        <v>111</v>
      </c>
      <c r="C173">
        <v>68</v>
      </c>
      <c r="D173">
        <v>118</v>
      </c>
      <c r="E173">
        <v>59</v>
      </c>
      <c r="F173">
        <v>134</v>
      </c>
      <c r="G173">
        <v>104</v>
      </c>
      <c r="H173">
        <v>68</v>
      </c>
      <c r="I173">
        <v>6</v>
      </c>
      <c r="J173">
        <v>18</v>
      </c>
      <c r="K173">
        <v>35</v>
      </c>
      <c r="L173">
        <v>158</v>
      </c>
      <c r="M173">
        <v>285</v>
      </c>
      <c r="N173" s="2">
        <v>1.8669487833717101E-4</v>
      </c>
    </row>
    <row r="174" spans="1:14" hidden="1" x14ac:dyDescent="0.25">
      <c r="A174" t="s">
        <v>72</v>
      </c>
      <c r="B174" t="s">
        <v>215</v>
      </c>
      <c r="C174">
        <v>199</v>
      </c>
      <c r="D174">
        <v>83</v>
      </c>
      <c r="E174">
        <v>98</v>
      </c>
      <c r="F174">
        <v>45</v>
      </c>
      <c r="G174">
        <v>59</v>
      </c>
      <c r="H174">
        <v>341</v>
      </c>
      <c r="I174">
        <v>47</v>
      </c>
      <c r="J174">
        <v>46</v>
      </c>
      <c r="K174">
        <v>194</v>
      </c>
      <c r="L174">
        <v>216</v>
      </c>
      <c r="M174">
        <v>844</v>
      </c>
      <c r="N174" s="2">
        <v>5.5287886777744661E-4</v>
      </c>
    </row>
    <row r="175" spans="1:14" hidden="1" x14ac:dyDescent="0.25">
      <c r="A175" t="s">
        <v>72</v>
      </c>
      <c r="B175" t="s">
        <v>142</v>
      </c>
      <c r="C175">
        <v>0</v>
      </c>
      <c r="D175">
        <v>19</v>
      </c>
      <c r="E175">
        <v>33</v>
      </c>
      <c r="F175">
        <v>135</v>
      </c>
      <c r="G175">
        <v>63</v>
      </c>
      <c r="H175">
        <v>66</v>
      </c>
      <c r="I175">
        <v>53</v>
      </c>
      <c r="J175">
        <v>15</v>
      </c>
      <c r="K175">
        <v>0</v>
      </c>
      <c r="L175">
        <v>0</v>
      </c>
      <c r="M175">
        <v>134</v>
      </c>
      <c r="N175" s="2">
        <v>8.7779346305897927E-5</v>
      </c>
    </row>
    <row r="176" spans="1:14" hidden="1" x14ac:dyDescent="0.25">
      <c r="A176" t="s">
        <v>72</v>
      </c>
      <c r="B176" t="s">
        <v>140</v>
      </c>
      <c r="C176">
        <v>0</v>
      </c>
      <c r="D176">
        <v>0</v>
      </c>
      <c r="E176">
        <v>0</v>
      </c>
      <c r="F176">
        <v>0</v>
      </c>
      <c r="G176">
        <v>160</v>
      </c>
      <c r="H176">
        <v>255</v>
      </c>
      <c r="I176">
        <v>230</v>
      </c>
      <c r="J176">
        <v>0</v>
      </c>
      <c r="K176">
        <v>0</v>
      </c>
      <c r="L176">
        <v>0</v>
      </c>
      <c r="M176">
        <v>485</v>
      </c>
      <c r="N176" s="2">
        <v>3.1770882804746641E-4</v>
      </c>
    </row>
    <row r="177" spans="1:14" hidden="1" x14ac:dyDescent="0.25">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x14ac:dyDescent="0.25">
      <c r="A178" t="s">
        <v>71</v>
      </c>
      <c r="B178" t="s">
        <v>147</v>
      </c>
      <c r="E178">
        <v>5</v>
      </c>
      <c r="F178">
        <v>4</v>
      </c>
      <c r="G178">
        <v>4</v>
      </c>
      <c r="H178">
        <v>5</v>
      </c>
      <c r="I178">
        <v>4</v>
      </c>
      <c r="J178">
        <v>3</v>
      </c>
      <c r="K178">
        <v>3</v>
      </c>
      <c r="L178">
        <v>3</v>
      </c>
      <c r="M178">
        <v>18</v>
      </c>
      <c r="N178" s="2">
        <v>6.7950169875424689E-3</v>
      </c>
    </row>
    <row r="179" spans="1:14" hidden="1" x14ac:dyDescent="0.25">
      <c r="A179" t="s">
        <v>71</v>
      </c>
      <c r="B179" t="s">
        <v>116</v>
      </c>
      <c r="C179">
        <v>11</v>
      </c>
      <c r="D179">
        <v>12</v>
      </c>
      <c r="E179">
        <v>9</v>
      </c>
      <c r="F179">
        <v>9</v>
      </c>
      <c r="G179">
        <v>18</v>
      </c>
      <c r="H179">
        <v>17</v>
      </c>
      <c r="I179">
        <v>17</v>
      </c>
      <c r="J179">
        <v>15</v>
      </c>
      <c r="K179">
        <v>23</v>
      </c>
      <c r="L179">
        <v>25</v>
      </c>
      <c r="M179">
        <v>97</v>
      </c>
      <c r="N179" s="2">
        <v>3.661759154397886E-2</v>
      </c>
    </row>
    <row r="180" spans="1:14" hidden="1" x14ac:dyDescent="0.25">
      <c r="A180" t="s">
        <v>71</v>
      </c>
      <c r="B180" t="s">
        <v>86</v>
      </c>
      <c r="C180">
        <v>110</v>
      </c>
      <c r="D180">
        <v>150</v>
      </c>
      <c r="E180">
        <v>180</v>
      </c>
      <c r="F180">
        <v>210</v>
      </c>
      <c r="G180">
        <v>279</v>
      </c>
      <c r="H180">
        <v>291</v>
      </c>
      <c r="I180">
        <v>357</v>
      </c>
      <c r="J180">
        <v>461</v>
      </c>
      <c r="K180">
        <v>330</v>
      </c>
      <c r="L180">
        <v>349</v>
      </c>
      <c r="M180">
        <v>1788</v>
      </c>
      <c r="N180" s="2">
        <v>0.67497168742921854</v>
      </c>
    </row>
    <row r="181" spans="1:14" hidden="1" x14ac:dyDescent="0.25">
      <c r="A181" t="s">
        <v>71</v>
      </c>
      <c r="B181" t="s">
        <v>119</v>
      </c>
      <c r="C181">
        <v>43</v>
      </c>
      <c r="D181">
        <v>31</v>
      </c>
      <c r="E181">
        <v>32</v>
      </c>
      <c r="F181">
        <v>34</v>
      </c>
      <c r="G181">
        <v>28</v>
      </c>
      <c r="H181">
        <v>38</v>
      </c>
      <c r="I181">
        <v>58</v>
      </c>
      <c r="J181">
        <v>50</v>
      </c>
      <c r="K181">
        <v>70</v>
      </c>
      <c r="L181">
        <v>75</v>
      </c>
      <c r="M181">
        <v>291</v>
      </c>
      <c r="N181" s="2">
        <v>0.1098527746319366</v>
      </c>
    </row>
    <row r="182" spans="1:14" hidden="1" x14ac:dyDescent="0.25">
      <c r="A182" t="s">
        <v>71</v>
      </c>
      <c r="B182" t="s">
        <v>107</v>
      </c>
      <c r="C182">
        <v>30</v>
      </c>
      <c r="D182">
        <v>31</v>
      </c>
      <c r="E182">
        <v>33</v>
      </c>
      <c r="F182">
        <v>34</v>
      </c>
      <c r="G182">
        <v>40</v>
      </c>
      <c r="H182">
        <v>44</v>
      </c>
      <c r="I182">
        <v>46</v>
      </c>
      <c r="J182">
        <v>50</v>
      </c>
      <c r="K182">
        <v>55</v>
      </c>
      <c r="L182">
        <v>56</v>
      </c>
      <c r="M182">
        <v>251</v>
      </c>
      <c r="N182" s="2">
        <v>9.4752736881842201E-2</v>
      </c>
    </row>
    <row r="183" spans="1:14" hidden="1" x14ac:dyDescent="0.25">
      <c r="A183" t="s">
        <v>71</v>
      </c>
      <c r="B183" t="s">
        <v>138</v>
      </c>
      <c r="C183">
        <v>7</v>
      </c>
      <c r="D183">
        <v>24</v>
      </c>
      <c r="E183">
        <v>31</v>
      </c>
      <c r="F183">
        <v>33</v>
      </c>
      <c r="G183">
        <v>39</v>
      </c>
      <c r="H183">
        <v>35</v>
      </c>
      <c r="I183">
        <v>45</v>
      </c>
      <c r="J183">
        <v>41</v>
      </c>
      <c r="K183">
        <v>42</v>
      </c>
      <c r="L183">
        <v>41</v>
      </c>
      <c r="M183">
        <v>204</v>
      </c>
      <c r="N183" s="2">
        <v>7.7010192525481316E-2</v>
      </c>
    </row>
    <row r="184" spans="1:14" hidden="1" x14ac:dyDescent="0.25">
      <c r="A184" t="s">
        <v>70</v>
      </c>
      <c r="B184" t="s">
        <v>83</v>
      </c>
      <c r="C184">
        <v>100</v>
      </c>
      <c r="D184">
        <v>0</v>
      </c>
      <c r="E184">
        <v>0</v>
      </c>
      <c r="F184">
        <v>250</v>
      </c>
      <c r="G184">
        <v>38</v>
      </c>
      <c r="H184">
        <v>74</v>
      </c>
      <c r="I184">
        <v>117</v>
      </c>
      <c r="J184">
        <v>247</v>
      </c>
      <c r="K184">
        <v>153</v>
      </c>
      <c r="L184">
        <v>208</v>
      </c>
      <c r="M184">
        <v>799</v>
      </c>
      <c r="N184" s="2">
        <v>4.924890792549916E-4</v>
      </c>
    </row>
    <row r="185" spans="1:14" hidden="1" x14ac:dyDescent="0.25">
      <c r="A185" t="s">
        <v>70</v>
      </c>
      <c r="B185" t="s">
        <v>83</v>
      </c>
      <c r="H185">
        <v>44</v>
      </c>
      <c r="I185">
        <v>70</v>
      </c>
      <c r="J185">
        <v>148</v>
      </c>
      <c r="K185">
        <v>92</v>
      </c>
      <c r="L185">
        <v>65</v>
      </c>
      <c r="M185">
        <v>419</v>
      </c>
      <c r="N185" s="2">
        <v>2.5826398524135362E-4</v>
      </c>
    </row>
    <row r="186" spans="1:14" hidden="1" x14ac:dyDescent="0.25">
      <c r="A186" t="s">
        <v>70</v>
      </c>
      <c r="B186" t="s">
        <v>144</v>
      </c>
      <c r="C186">
        <v>0</v>
      </c>
      <c r="D186">
        <v>0</v>
      </c>
      <c r="E186">
        <v>23</v>
      </c>
      <c r="F186">
        <v>1</v>
      </c>
      <c r="G186">
        <v>0</v>
      </c>
      <c r="H186">
        <v>9</v>
      </c>
      <c r="I186">
        <v>59</v>
      </c>
      <c r="J186">
        <v>40</v>
      </c>
      <c r="K186">
        <v>40</v>
      </c>
      <c r="L186">
        <v>2</v>
      </c>
      <c r="M186">
        <v>150</v>
      </c>
      <c r="N186" s="2">
        <v>9.2457273952751867E-5</v>
      </c>
    </row>
    <row r="187" spans="1:14" hidden="1" x14ac:dyDescent="0.25">
      <c r="A187" t="s">
        <v>70</v>
      </c>
      <c r="B187" t="s">
        <v>144</v>
      </c>
      <c r="H187">
        <v>5</v>
      </c>
      <c r="I187">
        <v>35</v>
      </c>
      <c r="J187">
        <v>24</v>
      </c>
      <c r="K187">
        <v>24</v>
      </c>
      <c r="L187">
        <v>1</v>
      </c>
      <c r="M187">
        <v>89</v>
      </c>
      <c r="N187" s="2">
        <v>5.4857982545299442E-5</v>
      </c>
    </row>
    <row r="188" spans="1:14" hidden="1" x14ac:dyDescent="0.25">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x14ac:dyDescent="0.25">
      <c r="A189" t="s">
        <v>70</v>
      </c>
      <c r="B189" t="s">
        <v>85</v>
      </c>
      <c r="C189">
        <v>112631</v>
      </c>
      <c r="H189">
        <v>6228</v>
      </c>
      <c r="I189">
        <v>6174</v>
      </c>
      <c r="J189">
        <v>5138</v>
      </c>
      <c r="K189">
        <v>4982</v>
      </c>
      <c r="L189">
        <v>5262</v>
      </c>
      <c r="M189">
        <v>27784</v>
      </c>
      <c r="N189" s="2">
        <v>1.712555266335505E-2</v>
      </c>
    </row>
    <row r="190" spans="1:14" hidden="1" x14ac:dyDescent="0.25">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x14ac:dyDescent="0.25">
      <c r="A191" t="s">
        <v>70</v>
      </c>
      <c r="B191" t="s">
        <v>85</v>
      </c>
      <c r="H191">
        <v>80459</v>
      </c>
      <c r="I191">
        <v>95717</v>
      </c>
      <c r="J191">
        <v>123560</v>
      </c>
      <c r="K191">
        <v>82003</v>
      </c>
      <c r="L191">
        <v>108826</v>
      </c>
      <c r="M191">
        <v>490565</v>
      </c>
      <c r="N191" s="2">
        <v>0.30237535064421139</v>
      </c>
    </row>
    <row r="192" spans="1:14" hidden="1" x14ac:dyDescent="0.25">
      <c r="A192" t="s">
        <v>70</v>
      </c>
      <c r="B192" t="s">
        <v>187</v>
      </c>
      <c r="C192">
        <v>259</v>
      </c>
      <c r="D192">
        <v>74</v>
      </c>
      <c r="E192">
        <v>106</v>
      </c>
      <c r="F192">
        <v>53</v>
      </c>
      <c r="G192">
        <v>32</v>
      </c>
      <c r="H192">
        <v>74</v>
      </c>
      <c r="I192">
        <v>22</v>
      </c>
      <c r="J192">
        <v>22</v>
      </c>
      <c r="K192">
        <v>21</v>
      </c>
      <c r="L192">
        <v>21</v>
      </c>
      <c r="M192">
        <v>160</v>
      </c>
      <c r="N192" s="2">
        <v>9.8621092216268655E-5</v>
      </c>
    </row>
    <row r="193" spans="1:14" hidden="1" x14ac:dyDescent="0.25">
      <c r="A193" t="s">
        <v>70</v>
      </c>
      <c r="B193" t="s">
        <v>187</v>
      </c>
      <c r="H193">
        <v>41</v>
      </c>
      <c r="I193">
        <v>12</v>
      </c>
      <c r="J193">
        <v>12</v>
      </c>
      <c r="K193">
        <v>12</v>
      </c>
      <c r="L193">
        <v>12</v>
      </c>
      <c r="M193">
        <v>89</v>
      </c>
      <c r="N193" s="2">
        <v>5.4857982545299442E-5</v>
      </c>
    </row>
    <row r="194" spans="1:14" hidden="1" x14ac:dyDescent="0.25">
      <c r="A194" t="s">
        <v>70</v>
      </c>
      <c r="B194" t="s">
        <v>187</v>
      </c>
      <c r="H194">
        <v>14</v>
      </c>
      <c r="I194">
        <v>4</v>
      </c>
      <c r="J194">
        <v>4</v>
      </c>
      <c r="K194">
        <v>4</v>
      </c>
      <c r="L194">
        <v>4</v>
      </c>
      <c r="M194">
        <v>30</v>
      </c>
      <c r="N194" s="2">
        <v>1.8491454790550369E-5</v>
      </c>
    </row>
    <row r="195" spans="1:14" hidden="1" x14ac:dyDescent="0.25">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x14ac:dyDescent="0.25">
      <c r="A196" t="s">
        <v>70</v>
      </c>
      <c r="B196" t="s">
        <v>116</v>
      </c>
      <c r="H196">
        <v>6981</v>
      </c>
      <c r="I196">
        <v>7600</v>
      </c>
      <c r="J196">
        <v>6800</v>
      </c>
      <c r="K196">
        <v>6400</v>
      </c>
      <c r="L196">
        <v>7500</v>
      </c>
      <c r="M196">
        <v>35281</v>
      </c>
      <c r="N196" s="2">
        <v>2.1746567215513591E-2</v>
      </c>
    </row>
    <row r="197" spans="1:14" hidden="1" x14ac:dyDescent="0.25">
      <c r="A197" t="s">
        <v>70</v>
      </c>
      <c r="B197" t="s">
        <v>86</v>
      </c>
      <c r="C197">
        <v>180</v>
      </c>
      <c r="D197">
        <v>190</v>
      </c>
      <c r="E197">
        <v>240</v>
      </c>
      <c r="F197">
        <v>250</v>
      </c>
      <c r="G197">
        <v>260</v>
      </c>
      <c r="H197">
        <v>300</v>
      </c>
      <c r="I197">
        <v>360</v>
      </c>
      <c r="J197">
        <v>304</v>
      </c>
      <c r="K197">
        <v>296</v>
      </c>
      <c r="L197">
        <v>304</v>
      </c>
      <c r="M197">
        <v>1564</v>
      </c>
      <c r="N197" s="2">
        <v>9.6402117641402609E-4</v>
      </c>
    </row>
    <row r="198" spans="1:14" hidden="1" x14ac:dyDescent="0.25">
      <c r="A198" t="s">
        <v>70</v>
      </c>
      <c r="B198" t="s">
        <v>86</v>
      </c>
      <c r="H198">
        <v>167</v>
      </c>
      <c r="I198">
        <v>201</v>
      </c>
      <c r="J198">
        <v>169</v>
      </c>
      <c r="K198">
        <v>165</v>
      </c>
      <c r="L198">
        <v>169</v>
      </c>
      <c r="M198">
        <v>871</v>
      </c>
      <c r="N198" s="2">
        <v>5.3686857075231252E-4</v>
      </c>
    </row>
    <row r="199" spans="1:14" hidden="1" x14ac:dyDescent="0.25">
      <c r="A199" t="s">
        <v>70</v>
      </c>
      <c r="B199" t="s">
        <v>86</v>
      </c>
      <c r="H199">
        <v>57</v>
      </c>
      <c r="I199">
        <v>68</v>
      </c>
      <c r="J199">
        <v>58</v>
      </c>
      <c r="K199">
        <v>56</v>
      </c>
      <c r="L199">
        <v>58</v>
      </c>
      <c r="M199">
        <v>297</v>
      </c>
      <c r="N199" s="2">
        <v>1.8306540242644869E-4</v>
      </c>
    </row>
    <row r="200" spans="1:14" hidden="1" x14ac:dyDescent="0.25">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x14ac:dyDescent="0.25">
      <c r="A201" t="s">
        <v>70</v>
      </c>
      <c r="B201" t="s">
        <v>159</v>
      </c>
      <c r="H201">
        <v>838</v>
      </c>
      <c r="I201">
        <v>952</v>
      </c>
      <c r="J201">
        <v>528</v>
      </c>
      <c r="K201">
        <v>719</v>
      </c>
      <c r="L201">
        <v>1017</v>
      </c>
      <c r="M201">
        <v>4054</v>
      </c>
      <c r="N201" s="2">
        <v>2.498811924029707E-3</v>
      </c>
    </row>
    <row r="202" spans="1:14" hidden="1" x14ac:dyDescent="0.25">
      <c r="A202" t="s">
        <v>70</v>
      </c>
      <c r="B202" t="s">
        <v>159</v>
      </c>
      <c r="H202">
        <v>699</v>
      </c>
      <c r="I202">
        <v>793</v>
      </c>
      <c r="J202">
        <v>440</v>
      </c>
      <c r="K202">
        <v>599</v>
      </c>
      <c r="L202">
        <v>848</v>
      </c>
      <c r="M202">
        <v>3379</v>
      </c>
      <c r="N202" s="2">
        <v>2.0827541912423241E-3</v>
      </c>
    </row>
    <row r="203" spans="1:14" hidden="1" x14ac:dyDescent="0.25">
      <c r="A203" t="s">
        <v>70</v>
      </c>
      <c r="B203" t="s">
        <v>193</v>
      </c>
      <c r="H203">
        <v>22</v>
      </c>
      <c r="I203">
        <v>26</v>
      </c>
      <c r="J203">
        <v>7</v>
      </c>
      <c r="K203">
        <v>7</v>
      </c>
      <c r="L203">
        <v>12</v>
      </c>
      <c r="M203">
        <v>74</v>
      </c>
      <c r="N203" s="2">
        <v>4.5612255150024247E-5</v>
      </c>
    </row>
    <row r="204" spans="1:14" hidden="1" x14ac:dyDescent="0.25">
      <c r="A204" t="s">
        <v>70</v>
      </c>
      <c r="B204" t="s">
        <v>193</v>
      </c>
      <c r="H204">
        <v>48</v>
      </c>
      <c r="I204">
        <v>37</v>
      </c>
      <c r="J204">
        <v>25</v>
      </c>
      <c r="K204">
        <v>10</v>
      </c>
      <c r="L204">
        <v>19</v>
      </c>
      <c r="M204">
        <v>139</v>
      </c>
      <c r="N204" s="2">
        <v>8.5677073862883393E-5</v>
      </c>
    </row>
    <row r="205" spans="1:14" hidden="1" x14ac:dyDescent="0.25">
      <c r="A205" t="s">
        <v>70</v>
      </c>
      <c r="B205" t="s">
        <v>103</v>
      </c>
      <c r="C205">
        <v>262</v>
      </c>
      <c r="D205">
        <v>190</v>
      </c>
      <c r="E205">
        <v>255</v>
      </c>
      <c r="F205">
        <v>86</v>
      </c>
      <c r="G205">
        <v>77</v>
      </c>
      <c r="H205">
        <v>61</v>
      </c>
      <c r="I205">
        <v>274</v>
      </c>
      <c r="J205">
        <v>12</v>
      </c>
      <c r="K205">
        <v>9</v>
      </c>
      <c r="L205">
        <v>0</v>
      </c>
      <c r="M205">
        <v>356</v>
      </c>
      <c r="N205" s="2">
        <v>2.1943193018119779E-4</v>
      </c>
    </row>
    <row r="206" spans="1:14" hidden="1" x14ac:dyDescent="0.25">
      <c r="A206" t="s">
        <v>70</v>
      </c>
      <c r="B206" t="s">
        <v>103</v>
      </c>
      <c r="G206">
        <v>0</v>
      </c>
      <c r="H206">
        <v>7</v>
      </c>
      <c r="I206">
        <v>33</v>
      </c>
      <c r="J206">
        <v>1</v>
      </c>
      <c r="K206">
        <v>1</v>
      </c>
      <c r="L206">
        <v>0</v>
      </c>
      <c r="M206">
        <v>42</v>
      </c>
      <c r="N206" s="2">
        <v>2.5888036706770521E-5</v>
      </c>
    </row>
    <row r="207" spans="1:14" hidden="1" x14ac:dyDescent="0.25">
      <c r="A207" t="s">
        <v>70</v>
      </c>
      <c r="B207" t="s">
        <v>105</v>
      </c>
      <c r="C207">
        <v>83</v>
      </c>
      <c r="D207">
        <v>43</v>
      </c>
      <c r="F207">
        <v>62606</v>
      </c>
      <c r="G207">
        <v>92</v>
      </c>
      <c r="H207">
        <v>127</v>
      </c>
      <c r="I207">
        <v>146</v>
      </c>
      <c r="J207">
        <v>132</v>
      </c>
      <c r="K207">
        <v>209</v>
      </c>
      <c r="L207">
        <v>175</v>
      </c>
      <c r="M207">
        <v>789</v>
      </c>
      <c r="N207" s="2">
        <v>4.8632526099147481E-4</v>
      </c>
    </row>
    <row r="208" spans="1:14" hidden="1" x14ac:dyDescent="0.25">
      <c r="A208" t="s">
        <v>70</v>
      </c>
      <c r="B208" t="s">
        <v>105</v>
      </c>
      <c r="H208">
        <v>76</v>
      </c>
      <c r="I208">
        <v>88</v>
      </c>
      <c r="J208">
        <v>79</v>
      </c>
      <c r="K208">
        <v>125</v>
      </c>
      <c r="L208">
        <v>105</v>
      </c>
      <c r="M208">
        <v>473</v>
      </c>
      <c r="N208" s="2">
        <v>2.915486038643442E-4</v>
      </c>
    </row>
    <row r="209" spans="1:14" hidden="1" x14ac:dyDescent="0.25">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x14ac:dyDescent="0.25">
      <c r="A210" t="s">
        <v>70</v>
      </c>
      <c r="B210" t="s">
        <v>203</v>
      </c>
      <c r="H210">
        <v>681</v>
      </c>
      <c r="I210">
        <v>1010</v>
      </c>
      <c r="J210">
        <v>959</v>
      </c>
      <c r="K210">
        <v>947</v>
      </c>
      <c r="L210">
        <v>768</v>
      </c>
      <c r="M210">
        <v>4365</v>
      </c>
      <c r="N210" s="2">
        <v>2.6905066720250789E-3</v>
      </c>
    </row>
    <row r="211" spans="1:14" hidden="1" x14ac:dyDescent="0.25">
      <c r="A211" t="s">
        <v>70</v>
      </c>
      <c r="B211" t="s">
        <v>203</v>
      </c>
      <c r="H211">
        <v>231</v>
      </c>
      <c r="I211">
        <v>1037</v>
      </c>
      <c r="J211">
        <v>325</v>
      </c>
      <c r="K211">
        <v>321</v>
      </c>
      <c r="L211">
        <v>260</v>
      </c>
      <c r="M211">
        <v>2174</v>
      </c>
      <c r="N211" s="2">
        <v>1.3400140904885501E-3</v>
      </c>
    </row>
    <row r="212" spans="1:14" hidden="1" x14ac:dyDescent="0.25">
      <c r="A212" t="s">
        <v>70</v>
      </c>
      <c r="B212" t="s">
        <v>203</v>
      </c>
      <c r="C212">
        <v>63</v>
      </c>
      <c r="D212">
        <v>60</v>
      </c>
      <c r="E212">
        <v>60</v>
      </c>
      <c r="F212">
        <v>60</v>
      </c>
      <c r="G212">
        <v>28</v>
      </c>
      <c r="H212">
        <v>19</v>
      </c>
      <c r="I212">
        <v>0</v>
      </c>
      <c r="J212">
        <v>1</v>
      </c>
      <c r="K212">
        <v>1</v>
      </c>
      <c r="L212">
        <v>44</v>
      </c>
      <c r="M212">
        <v>65</v>
      </c>
      <c r="N212" s="2">
        <v>4.0064818712859139E-5</v>
      </c>
    </row>
    <row r="213" spans="1:14" hidden="1" x14ac:dyDescent="0.25">
      <c r="A213" t="s">
        <v>70</v>
      </c>
      <c r="B213" t="s">
        <v>203</v>
      </c>
      <c r="H213">
        <v>11</v>
      </c>
      <c r="I213">
        <v>0</v>
      </c>
      <c r="J213">
        <v>1</v>
      </c>
      <c r="K213">
        <v>1</v>
      </c>
      <c r="L213">
        <v>26</v>
      </c>
      <c r="M213">
        <v>39</v>
      </c>
      <c r="N213" s="2">
        <v>2.403889122771549E-5</v>
      </c>
    </row>
    <row r="214" spans="1:14" hidden="1" x14ac:dyDescent="0.25">
      <c r="A214" t="s">
        <v>70</v>
      </c>
      <c r="B214" t="s">
        <v>107</v>
      </c>
      <c r="H214">
        <v>648</v>
      </c>
      <c r="I214">
        <v>669</v>
      </c>
      <c r="J214">
        <v>659</v>
      </c>
      <c r="K214">
        <v>617</v>
      </c>
      <c r="L214">
        <v>650</v>
      </c>
      <c r="M214">
        <v>3243</v>
      </c>
      <c r="N214" s="2">
        <v>1.9989262628584952E-3</v>
      </c>
    </row>
    <row r="215" spans="1:14" hidden="1" x14ac:dyDescent="0.25">
      <c r="A215" t="s">
        <v>70</v>
      </c>
      <c r="B215" t="s">
        <v>107</v>
      </c>
      <c r="H215">
        <v>45</v>
      </c>
      <c r="I215">
        <v>44</v>
      </c>
      <c r="J215">
        <v>32</v>
      </c>
      <c r="K215">
        <v>60</v>
      </c>
      <c r="L215">
        <v>42</v>
      </c>
      <c r="M215">
        <v>223</v>
      </c>
      <c r="N215" s="2">
        <v>1.3745314727642451E-4</v>
      </c>
    </row>
    <row r="216" spans="1:14" hidden="1" x14ac:dyDescent="0.25">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x14ac:dyDescent="0.25">
      <c r="A217" t="s">
        <v>70</v>
      </c>
      <c r="B217" t="s">
        <v>204</v>
      </c>
      <c r="H217">
        <v>739</v>
      </c>
      <c r="I217">
        <v>1037</v>
      </c>
      <c r="J217">
        <v>846</v>
      </c>
      <c r="K217">
        <v>669</v>
      </c>
      <c r="L217">
        <v>623</v>
      </c>
      <c r="M217">
        <v>3914</v>
      </c>
      <c r="N217" s="2">
        <v>2.4125184683404721E-3</v>
      </c>
    </row>
    <row r="218" spans="1:14" hidden="1" x14ac:dyDescent="0.25">
      <c r="A218" t="s">
        <v>70</v>
      </c>
      <c r="B218" t="s">
        <v>204</v>
      </c>
      <c r="H218">
        <v>251</v>
      </c>
      <c r="I218">
        <v>352</v>
      </c>
      <c r="J218">
        <v>287</v>
      </c>
      <c r="K218">
        <v>227</v>
      </c>
      <c r="L218">
        <v>211</v>
      </c>
      <c r="M218">
        <v>1328</v>
      </c>
      <c r="N218" s="2">
        <v>8.1855506539502988E-4</v>
      </c>
    </row>
    <row r="219" spans="1:14" hidden="1" x14ac:dyDescent="0.25">
      <c r="A219" t="s">
        <v>70</v>
      </c>
      <c r="B219" t="s">
        <v>121</v>
      </c>
      <c r="H219">
        <v>0</v>
      </c>
      <c r="I219">
        <v>0</v>
      </c>
      <c r="J219">
        <v>15</v>
      </c>
      <c r="K219">
        <v>13</v>
      </c>
      <c r="L219">
        <v>15</v>
      </c>
      <c r="M219">
        <v>43</v>
      </c>
      <c r="N219" s="2">
        <v>2.6504418533122201E-5</v>
      </c>
    </row>
    <row r="220" spans="1:14" hidden="1" x14ac:dyDescent="0.25">
      <c r="A220" t="s">
        <v>70</v>
      </c>
      <c r="B220" t="s">
        <v>142</v>
      </c>
      <c r="C220">
        <v>0</v>
      </c>
      <c r="D220">
        <v>0</v>
      </c>
      <c r="E220">
        <v>0</v>
      </c>
      <c r="F220">
        <v>0</v>
      </c>
      <c r="G220">
        <v>13</v>
      </c>
      <c r="H220">
        <v>11</v>
      </c>
      <c r="I220">
        <v>7</v>
      </c>
      <c r="J220">
        <v>7</v>
      </c>
      <c r="K220">
        <v>173</v>
      </c>
      <c r="L220">
        <v>170</v>
      </c>
      <c r="M220">
        <v>368</v>
      </c>
      <c r="N220" s="2">
        <v>2.268285120974179E-4</v>
      </c>
    </row>
    <row r="221" spans="1:14" hidden="1" x14ac:dyDescent="0.25">
      <c r="A221" t="s">
        <v>70</v>
      </c>
      <c r="B221" t="s">
        <v>142</v>
      </c>
      <c r="H221">
        <v>6</v>
      </c>
      <c r="I221">
        <v>4</v>
      </c>
      <c r="J221">
        <v>4</v>
      </c>
      <c r="K221">
        <v>99</v>
      </c>
      <c r="L221">
        <v>97</v>
      </c>
      <c r="M221">
        <v>210</v>
      </c>
      <c r="N221" s="2">
        <v>1.2944018353385259E-4</v>
      </c>
    </row>
    <row r="222" spans="1:14" hidden="1" x14ac:dyDescent="0.25">
      <c r="A222" t="s">
        <v>70</v>
      </c>
      <c r="B222" t="s">
        <v>142</v>
      </c>
      <c r="H222">
        <v>2</v>
      </c>
      <c r="I222">
        <v>1</v>
      </c>
      <c r="J222">
        <v>1</v>
      </c>
      <c r="K222">
        <v>26</v>
      </c>
      <c r="L222">
        <v>26</v>
      </c>
      <c r="M222">
        <v>56</v>
      </c>
      <c r="N222" s="2">
        <v>3.4517382275694032E-5</v>
      </c>
    </row>
    <row r="223" spans="1:14" hidden="1" x14ac:dyDescent="0.25">
      <c r="A223" t="s">
        <v>70</v>
      </c>
      <c r="B223" t="s">
        <v>158</v>
      </c>
      <c r="H223">
        <v>27</v>
      </c>
      <c r="I223">
        <v>14</v>
      </c>
      <c r="J223">
        <v>7</v>
      </c>
      <c r="K223">
        <v>4</v>
      </c>
      <c r="L223">
        <v>0</v>
      </c>
      <c r="M223">
        <v>52</v>
      </c>
      <c r="N223" s="2">
        <v>3.2051854970287311E-5</v>
      </c>
    </row>
    <row r="224" spans="1:14" hidden="1" x14ac:dyDescent="0.25">
      <c r="A224" t="s">
        <v>70</v>
      </c>
      <c r="B224" t="s">
        <v>158</v>
      </c>
      <c r="H224">
        <v>15</v>
      </c>
      <c r="I224">
        <v>8</v>
      </c>
      <c r="J224">
        <v>4</v>
      </c>
      <c r="K224">
        <v>2</v>
      </c>
      <c r="L224">
        <v>0</v>
      </c>
      <c r="M224">
        <v>29</v>
      </c>
      <c r="N224" s="2">
        <v>1.7875072964198689E-5</v>
      </c>
    </row>
    <row r="225" spans="1:14" hidden="1" x14ac:dyDescent="0.25">
      <c r="A225" t="s">
        <v>70</v>
      </c>
      <c r="B225" t="s">
        <v>158</v>
      </c>
      <c r="H225">
        <v>5</v>
      </c>
      <c r="I225">
        <v>3</v>
      </c>
      <c r="J225">
        <v>1</v>
      </c>
      <c r="K225">
        <v>1</v>
      </c>
      <c r="L225">
        <v>0</v>
      </c>
      <c r="M225">
        <v>10</v>
      </c>
      <c r="N225" s="2">
        <v>6.1638182635167909E-6</v>
      </c>
    </row>
    <row r="226" spans="1:14" hidden="1" x14ac:dyDescent="0.25">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x14ac:dyDescent="0.25">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x14ac:dyDescent="0.25">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x14ac:dyDescent="0.25">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x14ac:dyDescent="0.25">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x14ac:dyDescent="0.25">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x14ac:dyDescent="0.25">
      <c r="A232" t="s">
        <v>33</v>
      </c>
      <c r="B232" t="s">
        <v>184</v>
      </c>
      <c r="H232">
        <v>250000</v>
      </c>
      <c r="I232">
        <v>275000</v>
      </c>
      <c r="J232">
        <v>290000</v>
      </c>
      <c r="K232">
        <v>250000</v>
      </c>
      <c r="L232">
        <v>275000</v>
      </c>
      <c r="M232">
        <v>1340000</v>
      </c>
      <c r="N232" s="2">
        <v>1.4539775223236851E-4</v>
      </c>
    </row>
    <row r="233" spans="1:14" hidden="1" x14ac:dyDescent="0.25">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x14ac:dyDescent="0.25">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x14ac:dyDescent="0.25">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x14ac:dyDescent="0.25">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x14ac:dyDescent="0.25">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x14ac:dyDescent="0.25">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x14ac:dyDescent="0.25">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x14ac:dyDescent="0.25">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x14ac:dyDescent="0.25">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x14ac:dyDescent="0.25">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x14ac:dyDescent="0.25">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x14ac:dyDescent="0.25">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x14ac:dyDescent="0.25">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x14ac:dyDescent="0.25">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x14ac:dyDescent="0.25">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x14ac:dyDescent="0.25">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x14ac:dyDescent="0.25">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x14ac:dyDescent="0.25">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x14ac:dyDescent="0.25">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x14ac:dyDescent="0.25">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x14ac:dyDescent="0.25">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x14ac:dyDescent="0.25">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x14ac:dyDescent="0.25">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x14ac:dyDescent="0.25">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x14ac:dyDescent="0.25">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x14ac:dyDescent="0.25">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x14ac:dyDescent="0.25">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x14ac:dyDescent="0.25">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x14ac:dyDescent="0.25">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x14ac:dyDescent="0.25">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x14ac:dyDescent="0.25">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x14ac:dyDescent="0.25">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x14ac:dyDescent="0.25">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x14ac:dyDescent="0.25">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x14ac:dyDescent="0.25">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x14ac:dyDescent="0.25">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x14ac:dyDescent="0.25">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x14ac:dyDescent="0.25">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x14ac:dyDescent="0.25">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x14ac:dyDescent="0.25">
      <c r="A272" t="s">
        <v>33</v>
      </c>
      <c r="B272" t="s">
        <v>224</v>
      </c>
      <c r="C272">
        <v>500000</v>
      </c>
      <c r="D272">
        <v>500000</v>
      </c>
      <c r="H272">
        <v>0</v>
      </c>
      <c r="I272">
        <v>1300000</v>
      </c>
      <c r="J272">
        <v>1270000</v>
      </c>
      <c r="K272">
        <v>1300000</v>
      </c>
      <c r="L272">
        <v>1300000</v>
      </c>
      <c r="M272">
        <v>5170000</v>
      </c>
      <c r="N272" s="2">
        <v>5.6097490973234729E-4</v>
      </c>
    </row>
    <row r="273" spans="1:14" hidden="1" x14ac:dyDescent="0.25">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x14ac:dyDescent="0.25">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x14ac:dyDescent="0.25">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x14ac:dyDescent="0.25">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x14ac:dyDescent="0.25">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x14ac:dyDescent="0.25">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x14ac:dyDescent="0.25">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x14ac:dyDescent="0.25">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x14ac:dyDescent="0.25">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x14ac:dyDescent="0.25">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x14ac:dyDescent="0.25">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x14ac:dyDescent="0.25">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x14ac:dyDescent="0.25">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x14ac:dyDescent="0.25">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x14ac:dyDescent="0.25">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x14ac:dyDescent="0.25">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x14ac:dyDescent="0.25">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x14ac:dyDescent="0.25">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x14ac:dyDescent="0.25">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x14ac:dyDescent="0.25">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x14ac:dyDescent="0.25">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x14ac:dyDescent="0.25">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x14ac:dyDescent="0.25">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x14ac:dyDescent="0.25">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x14ac:dyDescent="0.25">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x14ac:dyDescent="0.25">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x14ac:dyDescent="0.25">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x14ac:dyDescent="0.25">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x14ac:dyDescent="0.25">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x14ac:dyDescent="0.25">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x14ac:dyDescent="0.25">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x14ac:dyDescent="0.25">
      <c r="A304" t="s">
        <v>33</v>
      </c>
      <c r="B304" t="s">
        <v>211</v>
      </c>
      <c r="F304">
        <v>30000</v>
      </c>
      <c r="G304">
        <v>30000</v>
      </c>
      <c r="H304">
        <v>30000</v>
      </c>
      <c r="I304">
        <v>30000</v>
      </c>
      <c r="J304">
        <v>30000</v>
      </c>
      <c r="K304">
        <v>30000</v>
      </c>
      <c r="L304">
        <v>30000</v>
      </c>
      <c r="M304">
        <v>150000</v>
      </c>
      <c r="N304" s="2">
        <v>1.6275867787205429E-5</v>
      </c>
    </row>
    <row r="305" spans="1:14" hidden="1" x14ac:dyDescent="0.25">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x14ac:dyDescent="0.25">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x14ac:dyDescent="0.25">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x14ac:dyDescent="0.25">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x14ac:dyDescent="0.25">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x14ac:dyDescent="0.25">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x14ac:dyDescent="0.25">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x14ac:dyDescent="0.25">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x14ac:dyDescent="0.25">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x14ac:dyDescent="0.25">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x14ac:dyDescent="0.25">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x14ac:dyDescent="0.25">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x14ac:dyDescent="0.25">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x14ac:dyDescent="0.25">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x14ac:dyDescent="0.25">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x14ac:dyDescent="0.25">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x14ac:dyDescent="0.25">
      <c r="A321" t="s">
        <v>33</v>
      </c>
      <c r="B321" t="s">
        <v>158</v>
      </c>
      <c r="E321">
        <v>6759</v>
      </c>
      <c r="F321">
        <v>2806</v>
      </c>
      <c r="G321">
        <v>2785</v>
      </c>
      <c r="H321">
        <v>1294</v>
      </c>
      <c r="I321">
        <v>1322</v>
      </c>
      <c r="J321">
        <v>3583</v>
      </c>
      <c r="K321">
        <v>5196</v>
      </c>
      <c r="L321">
        <v>4800</v>
      </c>
      <c r="M321">
        <v>16195</v>
      </c>
      <c r="N321" s="2">
        <v>1.757251192091947E-6</v>
      </c>
    </row>
    <row r="322" spans="1:14" hidden="1" x14ac:dyDescent="0.25">
      <c r="A322" t="s">
        <v>50</v>
      </c>
      <c r="B322" t="s">
        <v>107</v>
      </c>
      <c r="C322">
        <v>7000</v>
      </c>
      <c r="D322">
        <v>7000</v>
      </c>
      <c r="E322">
        <v>7000</v>
      </c>
      <c r="F322">
        <v>7000</v>
      </c>
      <c r="G322">
        <v>7000</v>
      </c>
      <c r="H322">
        <v>7000</v>
      </c>
      <c r="I322">
        <v>7000</v>
      </c>
      <c r="J322">
        <v>7000</v>
      </c>
      <c r="K322">
        <v>7000</v>
      </c>
      <c r="L322">
        <v>7000</v>
      </c>
      <c r="M322">
        <v>35000</v>
      </c>
      <c r="N322" s="2">
        <v>1</v>
      </c>
    </row>
    <row r="323" spans="1:14" hidden="1" x14ac:dyDescent="0.25">
      <c r="A323" t="s">
        <v>68</v>
      </c>
      <c r="B323" t="s">
        <v>183</v>
      </c>
      <c r="C323">
        <v>42</v>
      </c>
      <c r="D323">
        <v>27</v>
      </c>
      <c r="E323">
        <v>16</v>
      </c>
      <c r="F323">
        <v>20</v>
      </c>
      <c r="G323">
        <v>20</v>
      </c>
      <c r="H323">
        <v>20</v>
      </c>
      <c r="I323">
        <v>100</v>
      </c>
      <c r="J323">
        <v>100</v>
      </c>
      <c r="K323">
        <v>0</v>
      </c>
      <c r="L323">
        <v>12</v>
      </c>
      <c r="M323">
        <v>232</v>
      </c>
      <c r="N323" s="2">
        <v>1.7026467232328959E-6</v>
      </c>
    </row>
    <row r="324" spans="1:14" hidden="1" x14ac:dyDescent="0.25">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x14ac:dyDescent="0.25">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x14ac:dyDescent="0.25">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x14ac:dyDescent="0.25">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x14ac:dyDescent="0.25">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x14ac:dyDescent="0.25">
      <c r="A329" t="s">
        <v>68</v>
      </c>
      <c r="B329" t="s">
        <v>165</v>
      </c>
      <c r="C329">
        <v>8700</v>
      </c>
      <c r="D329">
        <v>22597</v>
      </c>
      <c r="E329">
        <v>22288</v>
      </c>
      <c r="F329">
        <v>2801</v>
      </c>
      <c r="H329">
        <v>0</v>
      </c>
      <c r="I329">
        <v>0</v>
      </c>
      <c r="J329">
        <v>0</v>
      </c>
      <c r="K329">
        <v>0</v>
      </c>
      <c r="L329">
        <v>67563</v>
      </c>
      <c r="M329">
        <v>67563</v>
      </c>
      <c r="N329" s="2">
        <v>4.9584448518010416E-4</v>
      </c>
    </row>
    <row r="330" spans="1:14" hidden="1" x14ac:dyDescent="0.25">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x14ac:dyDescent="0.25">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x14ac:dyDescent="0.25">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x14ac:dyDescent="0.25">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x14ac:dyDescent="0.25">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x14ac:dyDescent="0.25">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x14ac:dyDescent="0.25">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x14ac:dyDescent="0.25">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x14ac:dyDescent="0.25">
      <c r="A338" t="s">
        <v>68</v>
      </c>
      <c r="B338" t="s">
        <v>166</v>
      </c>
      <c r="D338">
        <v>0</v>
      </c>
      <c r="E338">
        <v>0</v>
      </c>
      <c r="F338">
        <v>0</v>
      </c>
      <c r="G338">
        <v>0</v>
      </c>
      <c r="H338">
        <v>99</v>
      </c>
      <c r="I338">
        <v>180</v>
      </c>
      <c r="J338">
        <v>97</v>
      </c>
      <c r="K338">
        <v>486</v>
      </c>
      <c r="L338">
        <v>0</v>
      </c>
      <c r="M338">
        <v>862</v>
      </c>
      <c r="N338" s="2">
        <v>6.3262132561498133E-6</v>
      </c>
    </row>
    <row r="339" spans="1:14" hidden="1" x14ac:dyDescent="0.25">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x14ac:dyDescent="0.25">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x14ac:dyDescent="0.25">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x14ac:dyDescent="0.25">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x14ac:dyDescent="0.25">
      <c r="A343" t="s">
        <v>68</v>
      </c>
      <c r="B343" t="s">
        <v>90</v>
      </c>
      <c r="C343">
        <v>342</v>
      </c>
      <c r="D343">
        <v>462</v>
      </c>
      <c r="E343">
        <v>361</v>
      </c>
      <c r="F343">
        <v>354</v>
      </c>
      <c r="G343">
        <v>354</v>
      </c>
      <c r="H343">
        <v>350</v>
      </c>
      <c r="I343">
        <v>358</v>
      </c>
      <c r="J343">
        <v>692</v>
      </c>
      <c r="K343">
        <v>479</v>
      </c>
      <c r="L343">
        <v>622</v>
      </c>
      <c r="M343">
        <v>2501</v>
      </c>
      <c r="N343" s="2">
        <v>1.835482523623049E-5</v>
      </c>
    </row>
    <row r="344" spans="1:14" hidden="1" x14ac:dyDescent="0.25">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x14ac:dyDescent="0.25">
      <c r="A345" t="s">
        <v>68</v>
      </c>
      <c r="B345" t="s">
        <v>169</v>
      </c>
      <c r="F345">
        <v>18000</v>
      </c>
      <c r="G345">
        <v>20000</v>
      </c>
      <c r="H345">
        <v>21000</v>
      </c>
      <c r="I345">
        <v>20042</v>
      </c>
      <c r="J345">
        <v>4052</v>
      </c>
      <c r="K345">
        <v>11172</v>
      </c>
      <c r="L345">
        <v>12674</v>
      </c>
      <c r="M345">
        <v>68940</v>
      </c>
      <c r="N345" s="2">
        <v>5.0595028060205116E-4</v>
      </c>
    </row>
    <row r="346" spans="1:14" hidden="1" x14ac:dyDescent="0.25">
      <c r="A346" t="s">
        <v>68</v>
      </c>
      <c r="B346" t="s">
        <v>117</v>
      </c>
      <c r="H346">
        <v>600</v>
      </c>
      <c r="I346">
        <v>500</v>
      </c>
      <c r="J346">
        <v>400</v>
      </c>
      <c r="K346">
        <v>400</v>
      </c>
      <c r="L346">
        <v>400</v>
      </c>
      <c r="M346">
        <v>2300</v>
      </c>
      <c r="N346" s="2">
        <v>1.687968734239509E-5</v>
      </c>
    </row>
    <row r="347" spans="1:14" hidden="1" x14ac:dyDescent="0.25">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x14ac:dyDescent="0.25">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x14ac:dyDescent="0.25">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x14ac:dyDescent="0.25">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x14ac:dyDescent="0.25">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x14ac:dyDescent="0.25">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x14ac:dyDescent="0.25">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x14ac:dyDescent="0.25">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x14ac:dyDescent="0.25">
      <c r="A355" t="s">
        <v>68</v>
      </c>
      <c r="B355" t="s">
        <v>100</v>
      </c>
      <c r="C355">
        <v>410</v>
      </c>
      <c r="D355">
        <v>572</v>
      </c>
      <c r="E355">
        <v>585</v>
      </c>
      <c r="F355">
        <v>587</v>
      </c>
      <c r="G355">
        <v>549</v>
      </c>
      <c r="H355">
        <v>493</v>
      </c>
      <c r="I355">
        <v>137</v>
      </c>
      <c r="J355">
        <v>0</v>
      </c>
      <c r="K355">
        <v>0</v>
      </c>
      <c r="L355">
        <v>0</v>
      </c>
      <c r="M355">
        <v>630</v>
      </c>
      <c r="N355" s="2">
        <v>4.6235665329169168E-6</v>
      </c>
    </row>
    <row r="356" spans="1:14" hidden="1" x14ac:dyDescent="0.25">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x14ac:dyDescent="0.25">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x14ac:dyDescent="0.25">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x14ac:dyDescent="0.25">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x14ac:dyDescent="0.25">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x14ac:dyDescent="0.25">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x14ac:dyDescent="0.25">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x14ac:dyDescent="0.25">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x14ac:dyDescent="0.25">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x14ac:dyDescent="0.25">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x14ac:dyDescent="0.25">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x14ac:dyDescent="0.25">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x14ac:dyDescent="0.25">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x14ac:dyDescent="0.25">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x14ac:dyDescent="0.25">
      <c r="A370" t="s">
        <v>68</v>
      </c>
      <c r="B370" t="s">
        <v>202</v>
      </c>
      <c r="C370">
        <v>329</v>
      </c>
      <c r="D370">
        <v>110</v>
      </c>
      <c r="E370">
        <v>67</v>
      </c>
      <c r="F370">
        <v>119</v>
      </c>
      <c r="G370">
        <v>239</v>
      </c>
      <c r="H370">
        <v>100</v>
      </c>
      <c r="I370">
        <v>64</v>
      </c>
      <c r="J370">
        <v>31</v>
      </c>
      <c r="K370">
        <v>12</v>
      </c>
      <c r="L370">
        <v>87</v>
      </c>
      <c r="M370">
        <v>294</v>
      </c>
      <c r="N370" s="2">
        <v>2.1576643820278939E-6</v>
      </c>
    </row>
    <row r="371" spans="1:14" hidden="1" x14ac:dyDescent="0.25">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x14ac:dyDescent="0.25">
      <c r="A372" t="s">
        <v>68</v>
      </c>
      <c r="B372" t="s">
        <v>177</v>
      </c>
      <c r="F372">
        <v>0</v>
      </c>
      <c r="G372">
        <v>0</v>
      </c>
      <c r="H372">
        <v>0</v>
      </c>
      <c r="I372">
        <v>0</v>
      </c>
      <c r="J372">
        <v>35217</v>
      </c>
      <c r="K372">
        <v>49627</v>
      </c>
      <c r="L372">
        <v>78419</v>
      </c>
      <c r="M372">
        <v>163263</v>
      </c>
      <c r="N372" s="2">
        <v>1.198186258513674E-3</v>
      </c>
    </row>
    <row r="373" spans="1:14" hidden="1" x14ac:dyDescent="0.25">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x14ac:dyDescent="0.25">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x14ac:dyDescent="0.25">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x14ac:dyDescent="0.25">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x14ac:dyDescent="0.25">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x14ac:dyDescent="0.25">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x14ac:dyDescent="0.25">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x14ac:dyDescent="0.25">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x14ac:dyDescent="0.25">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x14ac:dyDescent="0.25">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x14ac:dyDescent="0.25">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x14ac:dyDescent="0.25">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x14ac:dyDescent="0.25">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x14ac:dyDescent="0.25">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x14ac:dyDescent="0.25">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x14ac:dyDescent="0.25">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x14ac:dyDescent="0.25">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x14ac:dyDescent="0.25">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x14ac:dyDescent="0.25">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x14ac:dyDescent="0.25">
      <c r="A392" t="s">
        <v>68</v>
      </c>
      <c r="B392" t="s">
        <v>140</v>
      </c>
      <c r="C392">
        <v>230</v>
      </c>
      <c r="D392">
        <v>82</v>
      </c>
      <c r="E392">
        <v>0</v>
      </c>
      <c r="F392">
        <v>0</v>
      </c>
      <c r="G392">
        <v>14</v>
      </c>
      <c r="H392">
        <v>0</v>
      </c>
      <c r="I392">
        <v>0</v>
      </c>
      <c r="J392">
        <v>130</v>
      </c>
      <c r="K392">
        <v>100</v>
      </c>
      <c r="L392">
        <v>400</v>
      </c>
      <c r="M392">
        <v>630</v>
      </c>
      <c r="N392" s="2">
        <v>4.6235665329169168E-6</v>
      </c>
    </row>
    <row r="393" spans="1:14" hidden="1" x14ac:dyDescent="0.25">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x14ac:dyDescent="0.25">
      <c r="A394" t="s">
        <v>68</v>
      </c>
      <c r="B394" t="s">
        <v>143</v>
      </c>
      <c r="F394">
        <v>0</v>
      </c>
      <c r="G394">
        <v>0</v>
      </c>
      <c r="H394">
        <v>0</v>
      </c>
      <c r="I394">
        <v>93</v>
      </c>
      <c r="J394">
        <v>7212</v>
      </c>
      <c r="K394">
        <v>9000</v>
      </c>
      <c r="L394">
        <v>9000</v>
      </c>
      <c r="M394">
        <v>25305</v>
      </c>
      <c r="N394" s="2">
        <v>1.857132557388295E-4</v>
      </c>
    </row>
    <row r="395" spans="1:14" hidden="1" x14ac:dyDescent="0.25">
      <c r="A395" t="s">
        <v>68</v>
      </c>
      <c r="B395" t="s">
        <v>158</v>
      </c>
      <c r="G395">
        <v>1463</v>
      </c>
      <c r="H395">
        <v>1480</v>
      </c>
      <c r="I395">
        <v>1542</v>
      </c>
      <c r="J395">
        <v>1500</v>
      </c>
      <c r="K395">
        <v>1500</v>
      </c>
      <c r="L395">
        <v>1500</v>
      </c>
      <c r="M395">
        <v>7522</v>
      </c>
      <c r="N395" s="2">
        <v>5.5203916604128651E-5</v>
      </c>
    </row>
    <row r="396" spans="1:14" hidden="1" x14ac:dyDescent="0.25">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x14ac:dyDescent="0.25">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x14ac:dyDescent="0.25">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x14ac:dyDescent="0.25">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x14ac:dyDescent="0.25">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x14ac:dyDescent="0.25">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x14ac:dyDescent="0.25">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x14ac:dyDescent="0.25">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x14ac:dyDescent="0.25">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x14ac:dyDescent="0.25">
      <c r="A405" t="s">
        <v>67</v>
      </c>
      <c r="B405" t="s">
        <v>164</v>
      </c>
      <c r="C405">
        <v>17</v>
      </c>
      <c r="D405">
        <v>20</v>
      </c>
      <c r="E405">
        <v>20</v>
      </c>
      <c r="F405">
        <v>20</v>
      </c>
      <c r="G405">
        <v>20</v>
      </c>
      <c r="H405">
        <v>20</v>
      </c>
      <c r="I405">
        <v>20</v>
      </c>
      <c r="J405">
        <v>20</v>
      </c>
      <c r="K405">
        <v>20</v>
      </c>
      <c r="L405">
        <v>20</v>
      </c>
      <c r="M405">
        <v>100</v>
      </c>
      <c r="N405" s="2">
        <v>5.6344376831192243E-3</v>
      </c>
    </row>
    <row r="406" spans="1:14" hidden="1" x14ac:dyDescent="0.25">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x14ac:dyDescent="0.25">
      <c r="A407" t="s">
        <v>67</v>
      </c>
      <c r="B407" t="s">
        <v>116</v>
      </c>
      <c r="C407">
        <v>144</v>
      </c>
      <c r="D407">
        <v>159</v>
      </c>
      <c r="E407">
        <v>154</v>
      </c>
      <c r="F407">
        <v>154</v>
      </c>
      <c r="G407">
        <v>176</v>
      </c>
      <c r="H407">
        <v>49</v>
      </c>
      <c r="I407">
        <v>85</v>
      </c>
      <c r="J407">
        <v>57</v>
      </c>
      <c r="K407">
        <v>102</v>
      </c>
      <c r="L407">
        <v>100</v>
      </c>
      <c r="M407">
        <v>393</v>
      </c>
      <c r="N407" s="2">
        <v>2.2143340094658549E-2</v>
      </c>
    </row>
    <row r="408" spans="1:14" hidden="1" x14ac:dyDescent="0.25">
      <c r="A408" t="s">
        <v>67</v>
      </c>
      <c r="B408" t="s">
        <v>145</v>
      </c>
      <c r="C408">
        <v>70</v>
      </c>
      <c r="D408">
        <v>70</v>
      </c>
      <c r="E408">
        <v>41</v>
      </c>
      <c r="F408">
        <v>50</v>
      </c>
      <c r="G408">
        <v>0</v>
      </c>
      <c r="H408">
        <v>100</v>
      </c>
      <c r="I408">
        <v>110</v>
      </c>
      <c r="J408">
        <v>90</v>
      </c>
      <c r="K408">
        <v>100</v>
      </c>
      <c r="L408">
        <v>100</v>
      </c>
      <c r="M408">
        <v>500</v>
      </c>
      <c r="N408" s="2">
        <v>2.8172188415596121E-2</v>
      </c>
    </row>
    <row r="409" spans="1:14" hidden="1" x14ac:dyDescent="0.25">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x14ac:dyDescent="0.25">
      <c r="A410" t="s">
        <v>67</v>
      </c>
      <c r="B410" t="s">
        <v>154</v>
      </c>
      <c r="C410">
        <v>93</v>
      </c>
      <c r="D410">
        <v>72</v>
      </c>
      <c r="E410">
        <v>94</v>
      </c>
      <c r="F410">
        <v>93</v>
      </c>
      <c r="G410">
        <v>104</v>
      </c>
      <c r="H410">
        <v>100</v>
      </c>
      <c r="I410">
        <v>109</v>
      </c>
      <c r="J410">
        <v>115</v>
      </c>
      <c r="K410">
        <v>84</v>
      </c>
      <c r="L410">
        <v>100</v>
      </c>
      <c r="M410">
        <v>508</v>
      </c>
      <c r="N410" s="2">
        <v>2.862294343024566E-2</v>
      </c>
    </row>
    <row r="411" spans="1:14" hidden="1" x14ac:dyDescent="0.25">
      <c r="A411" t="s">
        <v>67</v>
      </c>
      <c r="B411" t="s">
        <v>117</v>
      </c>
      <c r="C411">
        <v>650</v>
      </c>
      <c r="D411">
        <v>700</v>
      </c>
      <c r="E411">
        <v>700</v>
      </c>
      <c r="F411">
        <v>790</v>
      </c>
      <c r="G411">
        <v>790</v>
      </c>
      <c r="H411">
        <v>790</v>
      </c>
      <c r="I411">
        <v>300</v>
      </c>
      <c r="J411">
        <v>300</v>
      </c>
      <c r="K411">
        <v>300</v>
      </c>
      <c r="L411">
        <v>200</v>
      </c>
      <c r="M411">
        <v>1890</v>
      </c>
      <c r="N411" s="2">
        <v>0.10649087221095339</v>
      </c>
    </row>
    <row r="412" spans="1:14" hidden="1" x14ac:dyDescent="0.25">
      <c r="A412" t="s">
        <v>67</v>
      </c>
      <c r="B412" t="s">
        <v>119</v>
      </c>
      <c r="C412">
        <v>820</v>
      </c>
      <c r="D412">
        <v>739</v>
      </c>
      <c r="E412">
        <v>782</v>
      </c>
      <c r="F412">
        <v>772</v>
      </c>
      <c r="G412">
        <v>753</v>
      </c>
      <c r="H412">
        <v>729</v>
      </c>
      <c r="I412">
        <v>768</v>
      </c>
      <c r="J412">
        <v>740</v>
      </c>
      <c r="K412">
        <v>740</v>
      </c>
      <c r="L412">
        <v>750</v>
      </c>
      <c r="M412">
        <v>3727</v>
      </c>
      <c r="N412" s="2">
        <v>0.20999549244985349</v>
      </c>
    </row>
    <row r="413" spans="1:14" hidden="1" x14ac:dyDescent="0.25">
      <c r="A413" t="s">
        <v>67</v>
      </c>
      <c r="B413" t="s">
        <v>102</v>
      </c>
      <c r="C413">
        <v>130</v>
      </c>
      <c r="D413">
        <v>130</v>
      </c>
      <c r="E413">
        <v>130</v>
      </c>
      <c r="F413">
        <v>130</v>
      </c>
      <c r="G413">
        <v>130</v>
      </c>
      <c r="H413">
        <v>40</v>
      </c>
      <c r="I413">
        <v>5</v>
      </c>
      <c r="J413">
        <v>0</v>
      </c>
      <c r="K413">
        <v>0</v>
      </c>
      <c r="L413">
        <v>12</v>
      </c>
      <c r="M413">
        <v>57</v>
      </c>
      <c r="N413" s="2">
        <v>3.211629479377958E-3</v>
      </c>
    </row>
    <row r="414" spans="1:14" hidden="1" x14ac:dyDescent="0.25">
      <c r="A414" t="s">
        <v>67</v>
      </c>
      <c r="B414" t="s">
        <v>150</v>
      </c>
      <c r="C414">
        <v>95</v>
      </c>
      <c r="D414">
        <v>132</v>
      </c>
      <c r="E414">
        <v>120</v>
      </c>
      <c r="F414">
        <v>99</v>
      </c>
      <c r="G414">
        <v>121</v>
      </c>
      <c r="H414">
        <v>112</v>
      </c>
      <c r="I414">
        <v>107</v>
      </c>
      <c r="J414">
        <v>127</v>
      </c>
      <c r="K414">
        <v>106</v>
      </c>
      <c r="L414">
        <v>135</v>
      </c>
      <c r="M414">
        <v>587</v>
      </c>
      <c r="N414" s="2">
        <v>3.307414919990985E-2</v>
      </c>
    </row>
    <row r="415" spans="1:14" hidden="1" x14ac:dyDescent="0.25">
      <c r="A415" t="s">
        <v>67</v>
      </c>
      <c r="B415" t="s">
        <v>146</v>
      </c>
      <c r="C415">
        <v>42</v>
      </c>
      <c r="D415">
        <v>50</v>
      </c>
      <c r="E415">
        <v>49</v>
      </c>
      <c r="F415">
        <v>40</v>
      </c>
      <c r="G415">
        <v>45</v>
      </c>
      <c r="H415">
        <v>45</v>
      </c>
      <c r="I415">
        <v>45</v>
      </c>
      <c r="J415">
        <v>40</v>
      </c>
      <c r="K415">
        <v>53</v>
      </c>
      <c r="L415">
        <v>40</v>
      </c>
      <c r="M415">
        <v>223</v>
      </c>
      <c r="N415" s="2">
        <v>1.256479603335587E-2</v>
      </c>
    </row>
    <row r="416" spans="1:14" hidden="1" x14ac:dyDescent="0.25">
      <c r="A416" t="s">
        <v>67</v>
      </c>
      <c r="B416" t="s">
        <v>156</v>
      </c>
      <c r="C416">
        <v>70</v>
      </c>
      <c r="D416">
        <v>70</v>
      </c>
      <c r="E416">
        <v>70</v>
      </c>
      <c r="F416">
        <v>70</v>
      </c>
      <c r="G416">
        <v>70</v>
      </c>
      <c r="H416">
        <v>70</v>
      </c>
      <c r="I416">
        <v>70</v>
      </c>
      <c r="J416">
        <v>70</v>
      </c>
      <c r="K416">
        <v>70</v>
      </c>
      <c r="L416">
        <v>70</v>
      </c>
      <c r="M416">
        <v>350</v>
      </c>
      <c r="N416" s="2">
        <v>1.9720531890917291E-2</v>
      </c>
    </row>
    <row r="417" spans="1:14" hidden="1" x14ac:dyDescent="0.25">
      <c r="A417" t="s">
        <v>67</v>
      </c>
      <c r="B417" t="s">
        <v>151</v>
      </c>
      <c r="C417">
        <v>90</v>
      </c>
      <c r="D417">
        <v>80</v>
      </c>
      <c r="E417">
        <v>90</v>
      </c>
      <c r="F417">
        <v>87</v>
      </c>
      <c r="G417">
        <v>82</v>
      </c>
      <c r="H417">
        <v>74</v>
      </c>
      <c r="I417">
        <v>66</v>
      </c>
      <c r="J417">
        <v>76</v>
      </c>
      <c r="K417">
        <v>74</v>
      </c>
      <c r="L417">
        <v>66</v>
      </c>
      <c r="M417">
        <v>356</v>
      </c>
      <c r="N417" s="2">
        <v>2.0058598151904441E-2</v>
      </c>
    </row>
    <row r="418" spans="1:14" hidden="1" x14ac:dyDescent="0.25">
      <c r="A418" t="s">
        <v>67</v>
      </c>
      <c r="B418" t="s">
        <v>107</v>
      </c>
      <c r="C418">
        <v>115</v>
      </c>
      <c r="D418">
        <v>114</v>
      </c>
      <c r="E418">
        <v>131</v>
      </c>
      <c r="F418">
        <v>143</v>
      </c>
      <c r="G418">
        <v>197</v>
      </c>
      <c r="H418">
        <v>194</v>
      </c>
      <c r="I418">
        <v>176</v>
      </c>
      <c r="J418">
        <v>184</v>
      </c>
      <c r="K418">
        <v>190</v>
      </c>
      <c r="L418">
        <v>194</v>
      </c>
      <c r="M418">
        <v>938</v>
      </c>
      <c r="N418" s="2">
        <v>5.2851025467658318E-2</v>
      </c>
    </row>
    <row r="419" spans="1:14" hidden="1" x14ac:dyDescent="0.25">
      <c r="A419" t="s">
        <v>67</v>
      </c>
      <c r="B419" t="s">
        <v>179</v>
      </c>
      <c r="C419">
        <v>13</v>
      </c>
      <c r="D419">
        <v>16</v>
      </c>
      <c r="E419">
        <v>17</v>
      </c>
      <c r="F419">
        <v>15</v>
      </c>
      <c r="G419">
        <v>18</v>
      </c>
      <c r="H419">
        <v>19</v>
      </c>
      <c r="I419">
        <v>29</v>
      </c>
      <c r="J419">
        <v>17</v>
      </c>
      <c r="K419">
        <v>19</v>
      </c>
      <c r="L419">
        <v>19</v>
      </c>
      <c r="M419">
        <v>103</v>
      </c>
      <c r="N419" s="2">
        <v>5.8034708136128011E-3</v>
      </c>
    </row>
    <row r="420" spans="1:14" hidden="1" x14ac:dyDescent="0.25">
      <c r="A420" t="s">
        <v>67</v>
      </c>
      <c r="B420" t="s">
        <v>138</v>
      </c>
      <c r="C420">
        <v>20</v>
      </c>
      <c r="D420">
        <v>20</v>
      </c>
      <c r="E420">
        <v>20</v>
      </c>
      <c r="F420">
        <v>20</v>
      </c>
      <c r="G420">
        <v>20</v>
      </c>
      <c r="H420">
        <v>20</v>
      </c>
      <c r="I420">
        <v>90</v>
      </c>
      <c r="J420">
        <v>19</v>
      </c>
      <c r="K420">
        <v>19</v>
      </c>
      <c r="L420">
        <v>20</v>
      </c>
      <c r="M420">
        <v>168</v>
      </c>
      <c r="N420" s="2">
        <v>9.4658553076402974E-3</v>
      </c>
    </row>
    <row r="421" spans="1:14" hidden="1" x14ac:dyDescent="0.25">
      <c r="A421" t="s">
        <v>67</v>
      </c>
      <c r="B421" t="s">
        <v>113</v>
      </c>
      <c r="C421">
        <v>130</v>
      </c>
      <c r="D421">
        <v>150</v>
      </c>
      <c r="E421">
        <v>160</v>
      </c>
      <c r="F421">
        <v>90</v>
      </c>
      <c r="G421">
        <v>122</v>
      </c>
      <c r="H421">
        <v>116</v>
      </c>
      <c r="I421">
        <v>152</v>
      </c>
      <c r="J421">
        <v>144</v>
      </c>
      <c r="K421">
        <v>66</v>
      </c>
      <c r="L421">
        <v>112</v>
      </c>
      <c r="M421">
        <v>590</v>
      </c>
      <c r="N421" s="2">
        <v>3.3243182330403423E-2</v>
      </c>
    </row>
    <row r="422" spans="1:14" hidden="1" x14ac:dyDescent="0.25">
      <c r="A422" t="s">
        <v>67</v>
      </c>
      <c r="B422" t="s">
        <v>180</v>
      </c>
      <c r="C422">
        <v>20</v>
      </c>
      <c r="D422">
        <v>20</v>
      </c>
      <c r="E422">
        <v>20</v>
      </c>
      <c r="F422">
        <v>20</v>
      </c>
      <c r="G422">
        <v>20</v>
      </c>
      <c r="H422">
        <v>20</v>
      </c>
      <c r="I422">
        <v>0</v>
      </c>
      <c r="J422">
        <v>0</v>
      </c>
      <c r="K422">
        <v>0</v>
      </c>
      <c r="L422">
        <v>0</v>
      </c>
      <c r="M422">
        <v>20</v>
      </c>
      <c r="N422" s="2">
        <v>1.126887536623845E-3</v>
      </c>
    </row>
    <row r="423" spans="1:14" hidden="1" x14ac:dyDescent="0.25">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x14ac:dyDescent="0.25">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x14ac:dyDescent="0.25">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x14ac:dyDescent="0.25">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x14ac:dyDescent="0.25">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x14ac:dyDescent="0.25">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x14ac:dyDescent="0.25">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x14ac:dyDescent="0.25">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x14ac:dyDescent="0.25">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x14ac:dyDescent="0.25">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x14ac:dyDescent="0.25">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x14ac:dyDescent="0.25">
      <c r="A434" t="s">
        <v>66</v>
      </c>
      <c r="B434" t="s">
        <v>145</v>
      </c>
      <c r="C434">
        <v>27</v>
      </c>
      <c r="D434">
        <v>27</v>
      </c>
      <c r="E434">
        <v>25</v>
      </c>
      <c r="F434">
        <v>26</v>
      </c>
      <c r="G434">
        <v>27</v>
      </c>
      <c r="H434">
        <v>27</v>
      </c>
      <c r="I434">
        <v>27</v>
      </c>
      <c r="J434">
        <v>30</v>
      </c>
      <c r="K434">
        <v>30</v>
      </c>
      <c r="L434">
        <v>29</v>
      </c>
      <c r="M434">
        <v>143</v>
      </c>
      <c r="N434" s="2">
        <v>0.54580152671755722</v>
      </c>
    </row>
    <row r="435" spans="1:14" hidden="1" x14ac:dyDescent="0.25">
      <c r="A435" t="s">
        <v>66</v>
      </c>
      <c r="B435" t="s">
        <v>86</v>
      </c>
      <c r="C435">
        <v>2</v>
      </c>
      <c r="D435">
        <v>2</v>
      </c>
      <c r="E435">
        <v>2</v>
      </c>
      <c r="F435">
        <v>3</v>
      </c>
      <c r="G435">
        <v>3</v>
      </c>
      <c r="H435">
        <v>3</v>
      </c>
      <c r="I435">
        <v>3</v>
      </c>
      <c r="J435">
        <v>3</v>
      </c>
      <c r="K435">
        <v>3</v>
      </c>
      <c r="L435">
        <v>3</v>
      </c>
      <c r="M435">
        <v>15</v>
      </c>
      <c r="N435" s="2">
        <v>5.7251908396946563E-2</v>
      </c>
    </row>
    <row r="436" spans="1:14" hidden="1" x14ac:dyDescent="0.25">
      <c r="A436" t="s">
        <v>66</v>
      </c>
      <c r="B436" t="s">
        <v>102</v>
      </c>
      <c r="C436">
        <v>3</v>
      </c>
      <c r="D436">
        <v>3</v>
      </c>
      <c r="E436">
        <v>0</v>
      </c>
      <c r="F436">
        <v>1</v>
      </c>
      <c r="G436">
        <v>1</v>
      </c>
      <c r="H436">
        <v>1</v>
      </c>
      <c r="I436">
        <v>1</v>
      </c>
      <c r="J436">
        <v>1</v>
      </c>
      <c r="K436">
        <v>1</v>
      </c>
      <c r="L436">
        <v>1</v>
      </c>
      <c r="M436">
        <v>5</v>
      </c>
      <c r="N436" s="2">
        <v>1.9083969465648859E-2</v>
      </c>
    </row>
    <row r="437" spans="1:14" hidden="1" x14ac:dyDescent="0.25">
      <c r="A437" t="s">
        <v>66</v>
      </c>
      <c r="B437" t="s">
        <v>151</v>
      </c>
      <c r="C437">
        <v>3</v>
      </c>
      <c r="D437">
        <v>8</v>
      </c>
      <c r="E437">
        <v>8</v>
      </c>
      <c r="F437">
        <v>9</v>
      </c>
      <c r="G437">
        <v>9</v>
      </c>
      <c r="H437">
        <v>11</v>
      </c>
      <c r="I437">
        <v>9</v>
      </c>
      <c r="J437">
        <v>8</v>
      </c>
      <c r="K437">
        <v>10</v>
      </c>
      <c r="L437">
        <v>9</v>
      </c>
      <c r="M437">
        <v>47</v>
      </c>
      <c r="N437" s="2">
        <v>0.1793893129770992</v>
      </c>
    </row>
    <row r="438" spans="1:14" hidden="1" x14ac:dyDescent="0.25">
      <c r="A438" t="s">
        <v>66</v>
      </c>
      <c r="B438" t="s">
        <v>107</v>
      </c>
      <c r="C438">
        <v>2</v>
      </c>
      <c r="D438">
        <v>2</v>
      </c>
      <c r="E438">
        <v>2</v>
      </c>
      <c r="F438">
        <v>2</v>
      </c>
      <c r="G438">
        <v>2</v>
      </c>
      <c r="H438">
        <v>2</v>
      </c>
      <c r="I438">
        <v>2</v>
      </c>
      <c r="J438">
        <v>2</v>
      </c>
      <c r="K438">
        <v>2</v>
      </c>
      <c r="L438">
        <v>2</v>
      </c>
      <c r="M438">
        <v>10</v>
      </c>
      <c r="N438" s="2">
        <v>3.8167938931297711E-2</v>
      </c>
    </row>
    <row r="439" spans="1:14" hidden="1" x14ac:dyDescent="0.25">
      <c r="A439" t="s">
        <v>66</v>
      </c>
      <c r="B439" t="s">
        <v>113</v>
      </c>
      <c r="C439">
        <v>8</v>
      </c>
      <c r="D439">
        <v>7</v>
      </c>
      <c r="E439">
        <v>9</v>
      </c>
      <c r="F439">
        <v>8</v>
      </c>
      <c r="G439">
        <v>8</v>
      </c>
      <c r="H439">
        <v>8</v>
      </c>
      <c r="I439">
        <v>8</v>
      </c>
      <c r="J439">
        <v>8</v>
      </c>
      <c r="K439">
        <v>9</v>
      </c>
      <c r="L439">
        <v>9</v>
      </c>
      <c r="M439">
        <v>42</v>
      </c>
      <c r="N439" s="2">
        <v>0.1603053435114504</v>
      </c>
    </row>
    <row r="440" spans="1:14" hidden="1" x14ac:dyDescent="0.25">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x14ac:dyDescent="0.25">
      <c r="A441" t="s">
        <v>65</v>
      </c>
      <c r="B441" t="s">
        <v>187</v>
      </c>
      <c r="H441">
        <v>30</v>
      </c>
      <c r="I441">
        <v>480</v>
      </c>
      <c r="J441">
        <v>150</v>
      </c>
      <c r="K441">
        <v>250</v>
      </c>
      <c r="L441">
        <v>150</v>
      </c>
      <c r="M441">
        <v>1060</v>
      </c>
      <c r="N441" s="2">
        <v>8.6529058253647685E-4</v>
      </c>
    </row>
    <row r="442" spans="1:14" hidden="1" x14ac:dyDescent="0.25">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x14ac:dyDescent="0.25">
      <c r="A443" t="s">
        <v>65</v>
      </c>
      <c r="B443" t="s">
        <v>97</v>
      </c>
      <c r="D443">
        <v>319</v>
      </c>
      <c r="E443">
        <v>1836</v>
      </c>
      <c r="F443">
        <v>956</v>
      </c>
      <c r="G443">
        <v>2265</v>
      </c>
      <c r="H443">
        <v>2724</v>
      </c>
      <c r="I443">
        <v>4215</v>
      </c>
      <c r="J443">
        <v>4200</v>
      </c>
      <c r="K443">
        <v>4200</v>
      </c>
      <c r="L443">
        <v>4200</v>
      </c>
      <c r="M443">
        <v>19539</v>
      </c>
      <c r="N443" s="2">
        <v>1.5949917634132289E-2</v>
      </c>
    </row>
    <row r="444" spans="1:14" hidden="1" x14ac:dyDescent="0.25">
      <c r="A444" t="s">
        <v>65</v>
      </c>
      <c r="B444" t="s">
        <v>141</v>
      </c>
      <c r="G444">
        <v>0</v>
      </c>
      <c r="H444">
        <v>0</v>
      </c>
      <c r="I444">
        <v>2000</v>
      </c>
      <c r="J444">
        <v>2800</v>
      </c>
      <c r="K444">
        <v>3200</v>
      </c>
      <c r="L444">
        <v>3500</v>
      </c>
      <c r="M444">
        <v>11500</v>
      </c>
      <c r="N444" s="2">
        <v>9.3875865086504567E-3</v>
      </c>
    </row>
    <row r="445" spans="1:14" hidden="1" x14ac:dyDescent="0.25">
      <c r="A445" t="s">
        <v>65</v>
      </c>
      <c r="B445" t="s">
        <v>103</v>
      </c>
      <c r="C445">
        <v>114</v>
      </c>
      <c r="D445">
        <v>229</v>
      </c>
      <c r="E445">
        <v>292</v>
      </c>
      <c r="F445">
        <v>365</v>
      </c>
      <c r="G445">
        <v>1221</v>
      </c>
      <c r="H445">
        <v>196</v>
      </c>
      <c r="I445">
        <v>1012</v>
      </c>
      <c r="J445">
        <v>72</v>
      </c>
      <c r="K445">
        <v>14</v>
      </c>
      <c r="L445">
        <v>29</v>
      </c>
      <c r="M445">
        <v>1323</v>
      </c>
      <c r="N445" s="2">
        <v>1.0799806044299611E-3</v>
      </c>
    </row>
    <row r="446" spans="1:14" hidden="1" x14ac:dyDescent="0.25">
      <c r="A446" t="s">
        <v>65</v>
      </c>
      <c r="B446" t="s">
        <v>174</v>
      </c>
      <c r="D446">
        <v>100</v>
      </c>
      <c r="E446">
        <v>300</v>
      </c>
      <c r="F446">
        <v>400</v>
      </c>
      <c r="G446">
        <v>4500</v>
      </c>
      <c r="H446">
        <v>20000</v>
      </c>
      <c r="I446">
        <v>34000</v>
      </c>
      <c r="J446">
        <v>29000</v>
      </c>
      <c r="K446">
        <v>36000</v>
      </c>
      <c r="L446">
        <v>35000</v>
      </c>
      <c r="M446">
        <v>154000</v>
      </c>
      <c r="N446" s="2">
        <v>0.1257120280288844</v>
      </c>
    </row>
    <row r="447" spans="1:14" hidden="1" x14ac:dyDescent="0.25">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x14ac:dyDescent="0.25">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x14ac:dyDescent="0.25">
      <c r="A449" t="s">
        <v>65</v>
      </c>
      <c r="B449" t="s">
        <v>115</v>
      </c>
      <c r="C449">
        <v>0</v>
      </c>
      <c r="D449">
        <v>100</v>
      </c>
      <c r="E449">
        <v>0</v>
      </c>
      <c r="F449">
        <v>250</v>
      </c>
      <c r="G449">
        <v>220</v>
      </c>
      <c r="H449">
        <v>200</v>
      </c>
      <c r="I449">
        <v>920</v>
      </c>
      <c r="J449">
        <v>1300</v>
      </c>
      <c r="K449">
        <v>700</v>
      </c>
      <c r="L449">
        <v>400</v>
      </c>
      <c r="M449">
        <v>3520</v>
      </c>
      <c r="N449" s="2">
        <v>2.873417783517357E-3</v>
      </c>
    </row>
    <row r="450" spans="1:14" hidden="1" x14ac:dyDescent="0.25">
      <c r="A450" t="s">
        <v>64</v>
      </c>
      <c r="B450" t="s">
        <v>83</v>
      </c>
      <c r="I450">
        <v>0</v>
      </c>
      <c r="J450">
        <v>0</v>
      </c>
      <c r="K450">
        <v>10537</v>
      </c>
      <c r="L450">
        <v>16446</v>
      </c>
      <c r="M450">
        <v>26983</v>
      </c>
      <c r="N450" s="2">
        <v>8.0423113262377319E-2</v>
      </c>
    </row>
    <row r="451" spans="1:14" hidden="1" x14ac:dyDescent="0.25">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x14ac:dyDescent="0.25">
      <c r="A452" t="s">
        <v>64</v>
      </c>
      <c r="B452" t="s">
        <v>103</v>
      </c>
      <c r="C452">
        <v>113</v>
      </c>
      <c r="D452">
        <v>261</v>
      </c>
      <c r="E452">
        <v>372</v>
      </c>
      <c r="F452">
        <v>499</v>
      </c>
      <c r="G452">
        <v>1875</v>
      </c>
      <c r="H452">
        <v>302</v>
      </c>
      <c r="I452">
        <v>86</v>
      </c>
      <c r="J452">
        <v>54</v>
      </c>
      <c r="K452">
        <v>18</v>
      </c>
      <c r="L452">
        <v>23</v>
      </c>
      <c r="M452">
        <v>483</v>
      </c>
      <c r="N452" s="2">
        <v>1.439586543591456E-3</v>
      </c>
    </row>
    <row r="453" spans="1:14" hidden="1" x14ac:dyDescent="0.25">
      <c r="A453" t="s">
        <v>64</v>
      </c>
      <c r="B453" t="s">
        <v>103</v>
      </c>
      <c r="C453">
        <v>66</v>
      </c>
      <c r="D453">
        <v>97</v>
      </c>
      <c r="E453">
        <v>83</v>
      </c>
      <c r="F453">
        <v>66</v>
      </c>
      <c r="G453">
        <v>4</v>
      </c>
      <c r="H453">
        <v>0</v>
      </c>
      <c r="I453">
        <v>1568</v>
      </c>
      <c r="J453">
        <v>60</v>
      </c>
      <c r="K453">
        <v>3</v>
      </c>
      <c r="L453">
        <v>23</v>
      </c>
      <c r="M453">
        <v>1654</v>
      </c>
      <c r="N453" s="2">
        <v>4.9297642714291254E-3</v>
      </c>
    </row>
    <row r="454" spans="1:14" hidden="1" x14ac:dyDescent="0.25">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x14ac:dyDescent="0.25">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x14ac:dyDescent="0.25">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x14ac:dyDescent="0.25">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x14ac:dyDescent="0.25">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x14ac:dyDescent="0.25">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x14ac:dyDescent="0.25">
      <c r="A460" t="s">
        <v>63</v>
      </c>
      <c r="B460" t="s">
        <v>151</v>
      </c>
      <c r="C460">
        <v>39</v>
      </c>
      <c r="D460">
        <v>51</v>
      </c>
      <c r="E460">
        <v>40</v>
      </c>
      <c r="F460">
        <v>40</v>
      </c>
      <c r="G460">
        <v>50</v>
      </c>
      <c r="H460">
        <v>11</v>
      </c>
      <c r="I460">
        <v>8</v>
      </c>
      <c r="J460">
        <v>8</v>
      </c>
      <c r="K460">
        <v>8</v>
      </c>
      <c r="L460">
        <v>8</v>
      </c>
      <c r="M460">
        <v>43</v>
      </c>
      <c r="N460" s="2">
        <v>4.0243783739265212E-5</v>
      </c>
    </row>
    <row r="461" spans="1:14" hidden="1" x14ac:dyDescent="0.25">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x14ac:dyDescent="0.25">
      <c r="A462" t="s">
        <v>63</v>
      </c>
      <c r="B462" t="s">
        <v>179</v>
      </c>
      <c r="C462">
        <v>3</v>
      </c>
      <c r="D462">
        <v>2</v>
      </c>
      <c r="E462">
        <v>3</v>
      </c>
      <c r="F462">
        <v>2</v>
      </c>
      <c r="G462">
        <v>4</v>
      </c>
      <c r="H462">
        <v>2</v>
      </c>
      <c r="I462">
        <v>5</v>
      </c>
      <c r="J462">
        <v>10</v>
      </c>
      <c r="K462">
        <v>20</v>
      </c>
      <c r="L462">
        <v>20</v>
      </c>
      <c r="M462">
        <v>57</v>
      </c>
      <c r="N462" s="2">
        <v>5.3346411003212008E-5</v>
      </c>
    </row>
    <row r="463" spans="1:14" hidden="1" x14ac:dyDescent="0.25">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x14ac:dyDescent="0.25">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x14ac:dyDescent="0.25">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x14ac:dyDescent="0.25">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x14ac:dyDescent="0.25">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x14ac:dyDescent="0.25">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x14ac:dyDescent="0.25">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x14ac:dyDescent="0.25">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x14ac:dyDescent="0.25">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x14ac:dyDescent="0.25">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x14ac:dyDescent="0.25">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x14ac:dyDescent="0.25">
      <c r="A474" t="s">
        <v>61</v>
      </c>
      <c r="B474" t="s">
        <v>160</v>
      </c>
      <c r="C474">
        <v>1700</v>
      </c>
      <c r="D474">
        <v>3000</v>
      </c>
      <c r="E474">
        <v>1300</v>
      </c>
      <c r="G474">
        <v>0</v>
      </c>
      <c r="H474">
        <v>0</v>
      </c>
      <c r="I474">
        <v>0</v>
      </c>
      <c r="J474">
        <v>0</v>
      </c>
      <c r="K474">
        <v>1600</v>
      </c>
      <c r="L474">
        <v>1400</v>
      </c>
      <c r="M474">
        <v>3000</v>
      </c>
      <c r="N474" s="2">
        <v>2.5945103316307259E-6</v>
      </c>
    </row>
    <row r="475" spans="1:14" hidden="1" x14ac:dyDescent="0.25">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x14ac:dyDescent="0.25">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x14ac:dyDescent="0.25">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x14ac:dyDescent="0.25">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x14ac:dyDescent="0.25">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x14ac:dyDescent="0.25">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x14ac:dyDescent="0.25">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x14ac:dyDescent="0.25">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x14ac:dyDescent="0.25">
      <c r="A483" t="s">
        <v>61</v>
      </c>
      <c r="B483" t="s">
        <v>171</v>
      </c>
      <c r="D483">
        <v>5000000</v>
      </c>
      <c r="E483">
        <v>0</v>
      </c>
      <c r="F483">
        <v>0</v>
      </c>
      <c r="G483">
        <v>181000</v>
      </c>
      <c r="H483">
        <v>435000</v>
      </c>
      <c r="I483">
        <v>0</v>
      </c>
      <c r="J483">
        <v>635</v>
      </c>
      <c r="K483">
        <v>230</v>
      </c>
      <c r="L483">
        <v>0</v>
      </c>
      <c r="M483">
        <v>435865</v>
      </c>
      <c r="N483" s="2">
        <v>3.7695208189874208E-4</v>
      </c>
    </row>
    <row r="484" spans="1:14" hidden="1" x14ac:dyDescent="0.25">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x14ac:dyDescent="0.25">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x14ac:dyDescent="0.25">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x14ac:dyDescent="0.25">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x14ac:dyDescent="0.25">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x14ac:dyDescent="0.25">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x14ac:dyDescent="0.25">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x14ac:dyDescent="0.25">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x14ac:dyDescent="0.25">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x14ac:dyDescent="0.25">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x14ac:dyDescent="0.25">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x14ac:dyDescent="0.25">
      <c r="A495" t="s">
        <v>61</v>
      </c>
      <c r="B495" t="s">
        <v>205</v>
      </c>
      <c r="F495">
        <v>800000</v>
      </c>
      <c r="G495">
        <v>1000000</v>
      </c>
      <c r="H495">
        <v>1000000</v>
      </c>
      <c r="I495">
        <v>917200</v>
      </c>
      <c r="J495">
        <v>643900</v>
      </c>
      <c r="K495">
        <v>1427500</v>
      </c>
      <c r="L495">
        <v>1400000</v>
      </c>
      <c r="M495">
        <v>5388600</v>
      </c>
      <c r="N495" s="2">
        <v>4.6602594576751104E-3</v>
      </c>
    </row>
    <row r="496" spans="1:14" hidden="1" x14ac:dyDescent="0.25">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x14ac:dyDescent="0.25">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x14ac:dyDescent="0.25">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x14ac:dyDescent="0.25">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x14ac:dyDescent="0.25">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x14ac:dyDescent="0.25">
      <c r="A501" t="s">
        <v>61</v>
      </c>
      <c r="B501" t="s">
        <v>215</v>
      </c>
      <c r="C501">
        <v>1990</v>
      </c>
      <c r="D501">
        <v>350</v>
      </c>
      <c r="E501">
        <v>500</v>
      </c>
      <c r="F501">
        <v>500</v>
      </c>
      <c r="G501">
        <v>500</v>
      </c>
      <c r="H501">
        <v>8000</v>
      </c>
      <c r="I501">
        <v>0</v>
      </c>
      <c r="J501">
        <v>0</v>
      </c>
      <c r="K501">
        <v>0</v>
      </c>
      <c r="L501">
        <v>0</v>
      </c>
      <c r="M501">
        <v>8000</v>
      </c>
      <c r="N501" s="2">
        <v>6.9186942176819352E-6</v>
      </c>
    </row>
    <row r="502" spans="1:14" hidden="1" x14ac:dyDescent="0.25">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x14ac:dyDescent="0.25">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x14ac:dyDescent="0.25">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x14ac:dyDescent="0.25">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x14ac:dyDescent="0.25">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x14ac:dyDescent="0.25">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x14ac:dyDescent="0.25">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x14ac:dyDescent="0.25">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x14ac:dyDescent="0.25">
      <c r="A510" t="s">
        <v>62</v>
      </c>
      <c r="B510" t="s">
        <v>83</v>
      </c>
      <c r="C510">
        <v>706</v>
      </c>
      <c r="D510">
        <v>786</v>
      </c>
      <c r="E510">
        <v>766</v>
      </c>
      <c r="F510">
        <v>533</v>
      </c>
      <c r="G510">
        <v>762</v>
      </c>
      <c r="H510">
        <v>765</v>
      </c>
      <c r="I510">
        <v>541</v>
      </c>
      <c r="J510">
        <v>483</v>
      </c>
      <c r="K510">
        <v>522</v>
      </c>
      <c r="L510">
        <v>470</v>
      </c>
      <c r="M510">
        <v>2781</v>
      </c>
      <c r="N510" s="2">
        <v>2.305455914062286E-3</v>
      </c>
    </row>
    <row r="511" spans="1:14" hidden="1" x14ac:dyDescent="0.25">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x14ac:dyDescent="0.25">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x14ac:dyDescent="0.25">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x14ac:dyDescent="0.25">
      <c r="A514" t="s">
        <v>62</v>
      </c>
      <c r="B514" t="s">
        <v>151</v>
      </c>
      <c r="C514">
        <v>23</v>
      </c>
      <c r="D514">
        <v>30</v>
      </c>
      <c r="E514">
        <v>25</v>
      </c>
      <c r="F514">
        <v>20</v>
      </c>
      <c r="G514">
        <v>30</v>
      </c>
      <c r="H514">
        <v>7</v>
      </c>
      <c r="I514">
        <v>7</v>
      </c>
      <c r="J514">
        <v>7</v>
      </c>
      <c r="K514">
        <v>7</v>
      </c>
      <c r="L514">
        <v>7</v>
      </c>
      <c r="M514">
        <v>35</v>
      </c>
      <c r="N514" s="2">
        <v>2.901508701624596E-5</v>
      </c>
    </row>
    <row r="515" spans="1:14" hidden="1" x14ac:dyDescent="0.25">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x14ac:dyDescent="0.25">
      <c r="A516" t="s">
        <v>62</v>
      </c>
      <c r="B516" t="s">
        <v>179</v>
      </c>
      <c r="C516">
        <v>22</v>
      </c>
      <c r="D516">
        <v>25</v>
      </c>
      <c r="E516">
        <v>23</v>
      </c>
      <c r="F516">
        <v>22</v>
      </c>
      <c r="G516">
        <v>31</v>
      </c>
      <c r="H516">
        <v>38</v>
      </c>
      <c r="I516">
        <v>55</v>
      </c>
      <c r="J516">
        <v>100</v>
      </c>
      <c r="K516">
        <v>100</v>
      </c>
      <c r="L516">
        <v>100</v>
      </c>
      <c r="M516">
        <v>393</v>
      </c>
      <c r="N516" s="2">
        <v>3.2579797706813323E-4</v>
      </c>
    </row>
    <row r="517" spans="1:14" hidden="1" x14ac:dyDescent="0.25">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x14ac:dyDescent="0.25">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x14ac:dyDescent="0.25">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x14ac:dyDescent="0.25">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x14ac:dyDescent="0.25">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x14ac:dyDescent="0.25">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x14ac:dyDescent="0.25">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x14ac:dyDescent="0.25">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x14ac:dyDescent="0.25">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x14ac:dyDescent="0.25">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x14ac:dyDescent="0.25">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x14ac:dyDescent="0.25">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hidden="1" x14ac:dyDescent="0.25">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hidden="1" x14ac:dyDescent="0.25">
      <c r="A530" t="s">
        <v>60</v>
      </c>
      <c r="B530" t="s">
        <v>181</v>
      </c>
      <c r="C530">
        <v>500</v>
      </c>
      <c r="D530">
        <v>500</v>
      </c>
      <c r="E530">
        <v>600</v>
      </c>
      <c r="F530">
        <v>700</v>
      </c>
      <c r="G530">
        <v>700</v>
      </c>
      <c r="H530">
        <v>700</v>
      </c>
      <c r="I530">
        <v>700</v>
      </c>
      <c r="J530">
        <v>700</v>
      </c>
      <c r="K530">
        <v>700</v>
      </c>
      <c r="L530">
        <v>700</v>
      </c>
      <c r="M530">
        <v>3500</v>
      </c>
      <c r="N530" s="2">
        <v>2.8889522257272089E-4</v>
      </c>
    </row>
    <row r="531" spans="1:14" hidden="1" x14ac:dyDescent="0.25">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hidden="1" x14ac:dyDescent="0.25">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hidden="1" x14ac:dyDescent="0.25">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hidden="1" x14ac:dyDescent="0.25">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hidden="1" x14ac:dyDescent="0.25">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hidden="1" x14ac:dyDescent="0.25">
      <c r="A536" t="s">
        <v>60</v>
      </c>
      <c r="B536" t="s">
        <v>166</v>
      </c>
      <c r="H536">
        <v>0</v>
      </c>
      <c r="I536">
        <v>0</v>
      </c>
      <c r="J536">
        <v>0</v>
      </c>
      <c r="K536">
        <v>0</v>
      </c>
      <c r="L536">
        <v>227</v>
      </c>
      <c r="M536">
        <v>227</v>
      </c>
      <c r="N536" s="2">
        <v>1.873691872114504E-5</v>
      </c>
    </row>
    <row r="537" spans="1:14" hidden="1" x14ac:dyDescent="0.25">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hidden="1" x14ac:dyDescent="0.25">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hidden="1" x14ac:dyDescent="0.25">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hidden="1" x14ac:dyDescent="0.25">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hidden="1" x14ac:dyDescent="0.25">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hidden="1" x14ac:dyDescent="0.25">
      <c r="A542" t="s">
        <v>60</v>
      </c>
      <c r="B542" t="s">
        <v>97</v>
      </c>
      <c r="D542">
        <v>290</v>
      </c>
      <c r="E542">
        <v>490</v>
      </c>
      <c r="F542">
        <v>1800</v>
      </c>
      <c r="G542">
        <v>300</v>
      </c>
      <c r="H542">
        <v>100</v>
      </c>
      <c r="I542">
        <v>100</v>
      </c>
      <c r="J542">
        <v>50</v>
      </c>
      <c r="K542">
        <v>0</v>
      </c>
      <c r="L542">
        <v>0</v>
      </c>
      <c r="M542">
        <v>250</v>
      </c>
      <c r="N542" s="2">
        <v>2.063537304090864E-5</v>
      </c>
    </row>
    <row r="543" spans="1:14" hidden="1" x14ac:dyDescent="0.25">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hidden="1" x14ac:dyDescent="0.25">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hidden="1" x14ac:dyDescent="0.25">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hidden="1" x14ac:dyDescent="0.25">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hidden="1" x14ac:dyDescent="0.25">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hidden="1" x14ac:dyDescent="0.25">
      <c r="A548" t="s">
        <v>60</v>
      </c>
      <c r="B548" t="s">
        <v>161</v>
      </c>
      <c r="H548">
        <v>0</v>
      </c>
      <c r="I548">
        <v>0</v>
      </c>
      <c r="J548">
        <v>0</v>
      </c>
      <c r="K548">
        <v>0</v>
      </c>
      <c r="L548">
        <v>100</v>
      </c>
      <c r="M548">
        <v>100</v>
      </c>
      <c r="N548" s="2">
        <v>8.2541492163634552E-6</v>
      </c>
    </row>
    <row r="549" spans="1:14" hidden="1" x14ac:dyDescent="0.25">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hidden="1" x14ac:dyDescent="0.25">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hidden="1" x14ac:dyDescent="0.25">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hidden="1" x14ac:dyDescent="0.25">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hidden="1" x14ac:dyDescent="0.25">
      <c r="A553" t="s">
        <v>60</v>
      </c>
      <c r="B553" t="s">
        <v>151</v>
      </c>
      <c r="C553">
        <v>840</v>
      </c>
      <c r="D553">
        <v>570</v>
      </c>
      <c r="E553">
        <v>780</v>
      </c>
      <c r="F553">
        <v>840</v>
      </c>
      <c r="G553">
        <v>770</v>
      </c>
      <c r="H553">
        <v>720</v>
      </c>
      <c r="I553">
        <v>700</v>
      </c>
      <c r="J553">
        <v>720</v>
      </c>
      <c r="K553">
        <v>700</v>
      </c>
      <c r="L553">
        <v>700</v>
      </c>
      <c r="M553">
        <v>3540</v>
      </c>
      <c r="N553" s="2">
        <v>2.9219688225926629E-4</v>
      </c>
    </row>
    <row r="554" spans="1:14" hidden="1" x14ac:dyDescent="0.25">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hidden="1" x14ac:dyDescent="0.25">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hidden="1" x14ac:dyDescent="0.25">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hidden="1" x14ac:dyDescent="0.25">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hidden="1" x14ac:dyDescent="0.25">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hidden="1" x14ac:dyDescent="0.25">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hidden="1" x14ac:dyDescent="0.25">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hidden="1" x14ac:dyDescent="0.25">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hidden="1" x14ac:dyDescent="0.25">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hidden="1" x14ac:dyDescent="0.25">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hidden="1" x14ac:dyDescent="0.25">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hidden="1" x14ac:dyDescent="0.25">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hidden="1" x14ac:dyDescent="0.25">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hidden="1" x14ac:dyDescent="0.25">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hidden="1" x14ac:dyDescent="0.25">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hidden="1" x14ac:dyDescent="0.25">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hidden="1" x14ac:dyDescent="0.25">
      <c r="A570" t="s">
        <v>59</v>
      </c>
      <c r="B570" t="s">
        <v>100</v>
      </c>
      <c r="D570">
        <v>0</v>
      </c>
      <c r="E570">
        <v>0</v>
      </c>
      <c r="F570">
        <v>0</v>
      </c>
      <c r="G570">
        <v>0</v>
      </c>
      <c r="H570">
        <v>400</v>
      </c>
      <c r="I570">
        <v>12300</v>
      </c>
      <c r="J570">
        <v>9100</v>
      </c>
      <c r="K570">
        <v>18600</v>
      </c>
      <c r="L570">
        <v>22000</v>
      </c>
      <c r="M570">
        <v>62400</v>
      </c>
      <c r="N570" s="2">
        <v>5.0028862805464704E-3</v>
      </c>
    </row>
    <row r="571" spans="1:14" hidden="1" x14ac:dyDescent="0.25">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hidden="1" x14ac:dyDescent="0.25">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hidden="1" x14ac:dyDescent="0.25">
      <c r="A573" t="s">
        <v>59</v>
      </c>
      <c r="B573" t="s">
        <v>161</v>
      </c>
      <c r="C573">
        <v>288</v>
      </c>
      <c r="D573">
        <v>160</v>
      </c>
      <c r="E573">
        <v>0</v>
      </c>
      <c r="F573">
        <v>0</v>
      </c>
      <c r="G573">
        <v>0</v>
      </c>
      <c r="H573">
        <v>196</v>
      </c>
      <c r="I573">
        <v>126</v>
      </c>
      <c r="J573">
        <v>131</v>
      </c>
      <c r="K573">
        <v>100</v>
      </c>
      <c r="L573">
        <v>100</v>
      </c>
      <c r="M573">
        <v>653</v>
      </c>
      <c r="N573" s="2">
        <v>5.2353922134564811E-5</v>
      </c>
    </row>
    <row r="574" spans="1:14" hidden="1" x14ac:dyDescent="0.25">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hidden="1" x14ac:dyDescent="0.25">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hidden="1" x14ac:dyDescent="0.25">
      <c r="A576" t="s">
        <v>59</v>
      </c>
      <c r="B576" t="s">
        <v>132</v>
      </c>
      <c r="C576">
        <v>351</v>
      </c>
      <c r="D576">
        <v>296</v>
      </c>
      <c r="E576">
        <v>290</v>
      </c>
      <c r="F576">
        <v>300</v>
      </c>
      <c r="G576">
        <v>200</v>
      </c>
      <c r="H576">
        <v>200</v>
      </c>
      <c r="I576">
        <v>300</v>
      </c>
      <c r="J576">
        <v>200</v>
      </c>
      <c r="K576">
        <v>300</v>
      </c>
      <c r="L576">
        <v>200</v>
      </c>
      <c r="M576">
        <v>1200</v>
      </c>
      <c r="N576" s="2">
        <v>9.6209351548970557E-5</v>
      </c>
    </row>
    <row r="577" spans="1:14" hidden="1" x14ac:dyDescent="0.25">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hidden="1" x14ac:dyDescent="0.25">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hidden="1" x14ac:dyDescent="0.25">
      <c r="A579" t="s">
        <v>59</v>
      </c>
      <c r="B579" t="s">
        <v>151</v>
      </c>
      <c r="C579">
        <v>840</v>
      </c>
      <c r="D579">
        <v>570</v>
      </c>
      <c r="E579">
        <v>780</v>
      </c>
      <c r="F579">
        <v>840</v>
      </c>
      <c r="G579">
        <v>770</v>
      </c>
      <c r="H579">
        <v>720</v>
      </c>
      <c r="I579">
        <v>700</v>
      </c>
      <c r="J579">
        <v>720</v>
      </c>
      <c r="K579">
        <v>710</v>
      </c>
      <c r="L579">
        <v>740</v>
      </c>
      <c r="M579">
        <v>3590</v>
      </c>
      <c r="N579" s="2">
        <v>2.8782631005067028E-4</v>
      </c>
    </row>
    <row r="580" spans="1:14" hidden="1" x14ac:dyDescent="0.25">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hidden="1" x14ac:dyDescent="0.25">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hidden="1" x14ac:dyDescent="0.25">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hidden="1" x14ac:dyDescent="0.25">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hidden="1" x14ac:dyDescent="0.25">
      <c r="A584" t="s">
        <v>59</v>
      </c>
      <c r="B584" t="s">
        <v>143</v>
      </c>
      <c r="F584">
        <v>0</v>
      </c>
      <c r="G584">
        <v>0</v>
      </c>
      <c r="H584">
        <v>0</v>
      </c>
      <c r="I584">
        <v>487</v>
      </c>
      <c r="J584">
        <v>1110</v>
      </c>
      <c r="K584">
        <v>3226</v>
      </c>
      <c r="L584">
        <v>3834</v>
      </c>
      <c r="M584">
        <v>8657</v>
      </c>
      <c r="N584" s="2">
        <v>6.9407029696619846E-4</v>
      </c>
    </row>
    <row r="585" spans="1:14" hidden="1" x14ac:dyDescent="0.25">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x14ac:dyDescent="0.25">
      <c r="A586" t="s">
        <v>58</v>
      </c>
      <c r="B586" t="s">
        <v>124</v>
      </c>
      <c r="C586">
        <v>4850</v>
      </c>
      <c r="D586">
        <v>3829</v>
      </c>
      <c r="E586">
        <v>1907</v>
      </c>
      <c r="F586">
        <v>1736</v>
      </c>
      <c r="G586">
        <v>2048</v>
      </c>
      <c r="H586">
        <v>1297</v>
      </c>
      <c r="I586">
        <v>728</v>
      </c>
      <c r="J586">
        <v>0</v>
      </c>
      <c r="K586">
        <v>0</v>
      </c>
      <c r="L586">
        <v>0</v>
      </c>
      <c r="M586">
        <v>2025</v>
      </c>
      <c r="N586" s="2">
        <v>1.376828887705836E-3</v>
      </c>
    </row>
    <row r="587" spans="1:14" hidden="1" x14ac:dyDescent="0.25">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x14ac:dyDescent="0.25">
      <c r="A588" t="s">
        <v>58</v>
      </c>
      <c r="B588" t="s">
        <v>85</v>
      </c>
      <c r="C588">
        <v>185</v>
      </c>
      <c r="D588">
        <v>200</v>
      </c>
      <c r="E588">
        <v>200</v>
      </c>
      <c r="F588">
        <v>200</v>
      </c>
      <c r="G588">
        <v>200</v>
      </c>
      <c r="H588">
        <v>200</v>
      </c>
      <c r="I588">
        <v>200</v>
      </c>
      <c r="J588">
        <v>200</v>
      </c>
      <c r="K588">
        <v>200</v>
      </c>
      <c r="L588">
        <v>200</v>
      </c>
      <c r="M588">
        <v>1000</v>
      </c>
      <c r="N588" s="2">
        <v>6.7991550010164739E-4</v>
      </c>
    </row>
    <row r="589" spans="1:14" hidden="1" x14ac:dyDescent="0.25">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x14ac:dyDescent="0.25">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x14ac:dyDescent="0.25">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x14ac:dyDescent="0.25">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x14ac:dyDescent="0.25">
      <c r="A593" t="s">
        <v>58</v>
      </c>
      <c r="B593" t="s">
        <v>102</v>
      </c>
      <c r="F593">
        <v>0</v>
      </c>
      <c r="G593">
        <v>0</v>
      </c>
      <c r="H593">
        <v>0</v>
      </c>
      <c r="I593">
        <v>149</v>
      </c>
      <c r="J593">
        <v>258</v>
      </c>
      <c r="K593">
        <v>400</v>
      </c>
      <c r="L593">
        <v>396</v>
      </c>
      <c r="M593">
        <v>1203</v>
      </c>
      <c r="N593" s="2">
        <v>8.1793834662228181E-4</v>
      </c>
    </row>
    <row r="594" spans="1:14" hidden="1" x14ac:dyDescent="0.25">
      <c r="A594" t="s">
        <v>58</v>
      </c>
      <c r="B594" t="s">
        <v>170</v>
      </c>
      <c r="H594">
        <v>21</v>
      </c>
      <c r="I594">
        <v>20</v>
      </c>
      <c r="J594">
        <v>23</v>
      </c>
      <c r="K594">
        <v>20</v>
      </c>
      <c r="L594">
        <v>15</v>
      </c>
      <c r="M594">
        <v>99</v>
      </c>
      <c r="N594" s="2">
        <v>6.7311634510063096E-5</v>
      </c>
    </row>
    <row r="595" spans="1:14" hidden="1" x14ac:dyDescent="0.25">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x14ac:dyDescent="0.25">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x14ac:dyDescent="0.25">
      <c r="A597" t="s">
        <v>58</v>
      </c>
      <c r="B597" t="s">
        <v>132</v>
      </c>
      <c r="C597">
        <v>4</v>
      </c>
      <c r="D597">
        <v>8</v>
      </c>
      <c r="E597">
        <v>2</v>
      </c>
      <c r="F597">
        <v>1</v>
      </c>
      <c r="G597">
        <v>2</v>
      </c>
      <c r="H597">
        <v>2</v>
      </c>
      <c r="I597">
        <v>2</v>
      </c>
      <c r="J597">
        <v>2</v>
      </c>
      <c r="K597">
        <v>2</v>
      </c>
      <c r="L597">
        <v>2</v>
      </c>
      <c r="M597">
        <v>10</v>
      </c>
      <c r="N597" s="2">
        <v>6.7991550010164737E-6</v>
      </c>
    </row>
    <row r="598" spans="1:14" hidden="1" x14ac:dyDescent="0.25">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x14ac:dyDescent="0.25">
      <c r="A599" t="s">
        <v>58</v>
      </c>
      <c r="B599" t="s">
        <v>151</v>
      </c>
      <c r="D599">
        <v>1310</v>
      </c>
      <c r="E599">
        <v>1330</v>
      </c>
      <c r="F599">
        <v>1360</v>
      </c>
      <c r="G599">
        <v>1320</v>
      </c>
      <c r="H599">
        <v>1220</v>
      </c>
      <c r="I599">
        <v>1190</v>
      </c>
      <c r="J599">
        <v>1230</v>
      </c>
      <c r="K599">
        <v>1210</v>
      </c>
      <c r="L599">
        <v>1230</v>
      </c>
      <c r="M599">
        <v>6080</v>
      </c>
      <c r="N599" s="2">
        <v>4.1338862406180158E-3</v>
      </c>
    </row>
    <row r="600" spans="1:14" hidden="1" x14ac:dyDescent="0.25">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x14ac:dyDescent="0.25">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x14ac:dyDescent="0.25">
      <c r="A602" t="s">
        <v>58</v>
      </c>
      <c r="B602" t="s">
        <v>180</v>
      </c>
      <c r="C602">
        <v>560</v>
      </c>
      <c r="D602">
        <v>490</v>
      </c>
      <c r="E602">
        <v>450</v>
      </c>
      <c r="F602">
        <v>570</v>
      </c>
      <c r="G602">
        <v>620</v>
      </c>
      <c r="H602">
        <v>700</v>
      </c>
      <c r="I602">
        <v>696</v>
      </c>
      <c r="J602">
        <v>666</v>
      </c>
      <c r="K602">
        <v>725</v>
      </c>
      <c r="L602">
        <v>0</v>
      </c>
      <c r="M602">
        <v>2787</v>
      </c>
      <c r="N602" s="2">
        <v>1.894924498783291E-3</v>
      </c>
    </row>
    <row r="603" spans="1:14" hidden="1" x14ac:dyDescent="0.25">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x14ac:dyDescent="0.25">
      <c r="A604" t="s">
        <v>57</v>
      </c>
      <c r="B604" t="s">
        <v>144</v>
      </c>
      <c r="F604">
        <v>0</v>
      </c>
      <c r="G604">
        <v>0</v>
      </c>
      <c r="H604">
        <v>0</v>
      </c>
      <c r="I604">
        <v>550</v>
      </c>
      <c r="J604">
        <v>3550</v>
      </c>
      <c r="K604">
        <v>4700</v>
      </c>
      <c r="L604">
        <v>5100</v>
      </c>
      <c r="M604">
        <v>13900</v>
      </c>
      <c r="N604" s="2">
        <v>5.0946559961454778E-5</v>
      </c>
    </row>
    <row r="605" spans="1:14" hidden="1" x14ac:dyDescent="0.25">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x14ac:dyDescent="0.25">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x14ac:dyDescent="0.25">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x14ac:dyDescent="0.25">
      <c r="A608" t="s">
        <v>57</v>
      </c>
      <c r="B608" t="s">
        <v>87</v>
      </c>
      <c r="C608">
        <v>540</v>
      </c>
      <c r="D608">
        <v>773</v>
      </c>
      <c r="E608">
        <v>682</v>
      </c>
      <c r="F608">
        <v>324</v>
      </c>
      <c r="G608">
        <v>0</v>
      </c>
      <c r="H608">
        <v>0</v>
      </c>
      <c r="I608">
        <v>470</v>
      </c>
      <c r="J608">
        <v>864</v>
      </c>
      <c r="K608">
        <v>0</v>
      </c>
      <c r="L608">
        <v>0</v>
      </c>
      <c r="M608">
        <v>1334</v>
      </c>
      <c r="N608" s="2">
        <v>4.8894036682432148E-6</v>
      </c>
    </row>
    <row r="609" spans="1:14" hidden="1" x14ac:dyDescent="0.25">
      <c r="A609" t="s">
        <v>57</v>
      </c>
      <c r="B609" t="s">
        <v>159</v>
      </c>
      <c r="F609">
        <v>0</v>
      </c>
      <c r="G609">
        <v>0</v>
      </c>
      <c r="H609">
        <v>0</v>
      </c>
      <c r="I609">
        <v>14884</v>
      </c>
      <c r="J609">
        <v>4935</v>
      </c>
      <c r="K609">
        <v>5000</v>
      </c>
      <c r="L609">
        <v>5000</v>
      </c>
      <c r="M609">
        <v>29819</v>
      </c>
      <c r="N609" s="2">
        <v>1.092931993878144E-4</v>
      </c>
    </row>
    <row r="610" spans="1:14" hidden="1" x14ac:dyDescent="0.25">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x14ac:dyDescent="0.25">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x14ac:dyDescent="0.25">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x14ac:dyDescent="0.25">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x14ac:dyDescent="0.25">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x14ac:dyDescent="0.25">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x14ac:dyDescent="0.25">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x14ac:dyDescent="0.25">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x14ac:dyDescent="0.25">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x14ac:dyDescent="0.25">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x14ac:dyDescent="0.25">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x14ac:dyDescent="0.25">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x14ac:dyDescent="0.25">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x14ac:dyDescent="0.25">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x14ac:dyDescent="0.25">
      <c r="A624" t="s">
        <v>57</v>
      </c>
      <c r="B624" t="s">
        <v>146</v>
      </c>
      <c r="F624">
        <v>0</v>
      </c>
      <c r="G624">
        <v>2650</v>
      </c>
      <c r="H624">
        <v>2500</v>
      </c>
      <c r="I624">
        <v>46400</v>
      </c>
      <c r="J624">
        <v>41800</v>
      </c>
      <c r="K624">
        <v>22500</v>
      </c>
      <c r="L624">
        <v>20160</v>
      </c>
      <c r="M624">
        <v>133360</v>
      </c>
      <c r="N624" s="2">
        <v>4.8879375801867697E-4</v>
      </c>
    </row>
    <row r="625" spans="1:14" hidden="1" x14ac:dyDescent="0.25">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x14ac:dyDescent="0.25">
      <c r="A626" t="s">
        <v>57</v>
      </c>
      <c r="B626" t="s">
        <v>137</v>
      </c>
      <c r="F626">
        <v>15979170</v>
      </c>
      <c r="G626">
        <v>13735509</v>
      </c>
      <c r="H626">
        <v>14143794</v>
      </c>
      <c r="I626">
        <v>14919207</v>
      </c>
      <c r="J626">
        <v>17008951</v>
      </c>
      <c r="K626">
        <v>16198506</v>
      </c>
      <c r="L626">
        <v>19156479</v>
      </c>
      <c r="M626">
        <v>81426937</v>
      </c>
      <c r="N626" s="2">
        <v>0.29844764952144609</v>
      </c>
    </row>
    <row r="627" spans="1:14" hidden="1" x14ac:dyDescent="0.25">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x14ac:dyDescent="0.25">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x14ac:dyDescent="0.25">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x14ac:dyDescent="0.25">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x14ac:dyDescent="0.25">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x14ac:dyDescent="0.25">
      <c r="A632" t="s">
        <v>57</v>
      </c>
      <c r="B632" t="s">
        <v>143</v>
      </c>
      <c r="F632">
        <v>140000</v>
      </c>
      <c r="G632">
        <v>120000</v>
      </c>
      <c r="H632">
        <v>92675</v>
      </c>
      <c r="I632">
        <v>77277</v>
      </c>
      <c r="J632">
        <v>15904</v>
      </c>
      <c r="K632">
        <v>46515</v>
      </c>
      <c r="L632">
        <v>132241</v>
      </c>
      <c r="M632">
        <v>364612</v>
      </c>
      <c r="N632" s="2">
        <v>1.3363832460910759E-3</v>
      </c>
    </row>
    <row r="633" spans="1:14" hidden="1" x14ac:dyDescent="0.25">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x14ac:dyDescent="0.25">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x14ac:dyDescent="0.25">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x14ac:dyDescent="0.25">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x14ac:dyDescent="0.25">
      <c r="A637" t="s">
        <v>56</v>
      </c>
      <c r="B637" t="s">
        <v>103</v>
      </c>
      <c r="C637">
        <v>0</v>
      </c>
      <c r="D637">
        <v>650</v>
      </c>
      <c r="E637">
        <v>2950</v>
      </c>
      <c r="F637">
        <v>1600</v>
      </c>
      <c r="G637">
        <v>400</v>
      </c>
      <c r="H637">
        <v>30</v>
      </c>
      <c r="I637">
        <v>0</v>
      </c>
      <c r="J637">
        <v>0</v>
      </c>
      <c r="K637">
        <v>0</v>
      </c>
      <c r="L637">
        <v>0</v>
      </c>
      <c r="M637">
        <v>30</v>
      </c>
      <c r="N637" s="2">
        <v>6.0858765873487611E-6</v>
      </c>
    </row>
    <row r="638" spans="1:14" hidden="1" x14ac:dyDescent="0.25">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x14ac:dyDescent="0.25">
      <c r="A639" t="s">
        <v>56</v>
      </c>
      <c r="B639" t="s">
        <v>112</v>
      </c>
      <c r="F639">
        <v>100</v>
      </c>
      <c r="G639">
        <v>3750</v>
      </c>
      <c r="H639">
        <v>4000</v>
      </c>
      <c r="I639">
        <v>4500</v>
      </c>
      <c r="J639">
        <v>4500</v>
      </c>
      <c r="K639">
        <v>4500</v>
      </c>
      <c r="L639">
        <v>4500</v>
      </c>
      <c r="M639">
        <v>22000</v>
      </c>
      <c r="N639" s="2">
        <v>4.4629761640557581E-3</v>
      </c>
    </row>
    <row r="640" spans="1:14" hidden="1" x14ac:dyDescent="0.25">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x14ac:dyDescent="0.25">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x14ac:dyDescent="0.25">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x14ac:dyDescent="0.25">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x14ac:dyDescent="0.25">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x14ac:dyDescent="0.25">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x14ac:dyDescent="0.25">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x14ac:dyDescent="0.25">
      <c r="A647" t="s">
        <v>55</v>
      </c>
      <c r="B647" t="s">
        <v>154</v>
      </c>
      <c r="F647">
        <v>22390</v>
      </c>
      <c r="G647">
        <v>54227</v>
      </c>
      <c r="H647">
        <v>63850</v>
      </c>
      <c r="I647">
        <v>49601</v>
      </c>
      <c r="J647">
        <v>37002</v>
      </c>
      <c r="K647">
        <v>136167</v>
      </c>
      <c r="L647">
        <v>179781</v>
      </c>
      <c r="M647">
        <v>466401</v>
      </c>
      <c r="N647" s="2">
        <v>2.9859511236828939E-3</v>
      </c>
    </row>
    <row r="648" spans="1:14" hidden="1" x14ac:dyDescent="0.25">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x14ac:dyDescent="0.25">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x14ac:dyDescent="0.25">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x14ac:dyDescent="0.25">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x14ac:dyDescent="0.25">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x14ac:dyDescent="0.25">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x14ac:dyDescent="0.25">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x14ac:dyDescent="0.25">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x14ac:dyDescent="0.25">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x14ac:dyDescent="0.25">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x14ac:dyDescent="0.25">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x14ac:dyDescent="0.25">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x14ac:dyDescent="0.25">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x14ac:dyDescent="0.25">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x14ac:dyDescent="0.25">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x14ac:dyDescent="0.25">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x14ac:dyDescent="0.25">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x14ac:dyDescent="0.25">
      <c r="A665" t="s">
        <v>54</v>
      </c>
      <c r="B665" t="s">
        <v>124</v>
      </c>
      <c r="G665">
        <v>24409</v>
      </c>
      <c r="H665">
        <v>26559</v>
      </c>
      <c r="I665">
        <v>29707</v>
      </c>
      <c r="J665">
        <v>30009</v>
      </c>
      <c r="K665">
        <v>26846</v>
      </c>
      <c r="L665">
        <v>47917</v>
      </c>
      <c r="M665">
        <v>161038</v>
      </c>
      <c r="N665" s="2">
        <v>1.517196806536162E-2</v>
      </c>
    </row>
    <row r="666" spans="1:14" x14ac:dyDescent="0.25">
      <c r="A666" t="s">
        <v>54</v>
      </c>
      <c r="B666" t="s">
        <v>124</v>
      </c>
      <c r="G666">
        <v>6468</v>
      </c>
      <c r="H666">
        <v>4501</v>
      </c>
      <c r="I666">
        <v>5005</v>
      </c>
      <c r="J666">
        <v>4284</v>
      </c>
      <c r="K666">
        <v>7705</v>
      </c>
      <c r="L666">
        <v>6017</v>
      </c>
      <c r="M666">
        <v>27512</v>
      </c>
      <c r="N666" s="2">
        <v>2.5920042810655178E-3</v>
      </c>
    </row>
    <row r="667" spans="1:14" x14ac:dyDescent="0.25">
      <c r="A667" t="s">
        <v>54</v>
      </c>
      <c r="B667" t="s">
        <v>124</v>
      </c>
      <c r="H667">
        <v>4993</v>
      </c>
      <c r="I667">
        <v>5585</v>
      </c>
      <c r="J667">
        <v>5642</v>
      </c>
      <c r="K667">
        <v>5047</v>
      </c>
      <c r="L667">
        <v>9008</v>
      </c>
      <c r="M667">
        <v>30275</v>
      </c>
      <c r="N667" s="2">
        <v>2.852316429531061E-3</v>
      </c>
    </row>
    <row r="668" spans="1:14" x14ac:dyDescent="0.25">
      <c r="A668" t="s">
        <v>54</v>
      </c>
      <c r="B668" t="s">
        <v>124</v>
      </c>
      <c r="H668">
        <v>734</v>
      </c>
      <c r="I668">
        <v>816</v>
      </c>
      <c r="J668">
        <v>698</v>
      </c>
      <c r="K668">
        <v>1256</v>
      </c>
      <c r="L668">
        <v>981</v>
      </c>
      <c r="M668">
        <v>4485</v>
      </c>
      <c r="N668" s="2">
        <v>4.2254795000650072E-4</v>
      </c>
    </row>
    <row r="669" spans="1:14" x14ac:dyDescent="0.25">
      <c r="A669" t="s">
        <v>54</v>
      </c>
      <c r="B669" t="s">
        <v>83</v>
      </c>
      <c r="H669">
        <v>47512</v>
      </c>
      <c r="I669">
        <v>54731</v>
      </c>
      <c r="J669">
        <v>44217</v>
      </c>
      <c r="K669">
        <v>41200</v>
      </c>
      <c r="L669">
        <v>55281</v>
      </c>
      <c r="M669">
        <v>242941</v>
      </c>
      <c r="N669" s="2">
        <v>2.2888343706249561E-2</v>
      </c>
    </row>
    <row r="670" spans="1:14" x14ac:dyDescent="0.25">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x14ac:dyDescent="0.25">
      <c r="A671" t="s">
        <v>54</v>
      </c>
      <c r="B671" t="s">
        <v>144</v>
      </c>
      <c r="C671">
        <v>0</v>
      </c>
      <c r="D671">
        <v>0</v>
      </c>
      <c r="E671">
        <v>0</v>
      </c>
      <c r="F671">
        <v>0</v>
      </c>
      <c r="G671">
        <v>162</v>
      </c>
      <c r="H671">
        <v>60</v>
      </c>
      <c r="I671">
        <v>230</v>
      </c>
      <c r="J671">
        <v>400</v>
      </c>
      <c r="K671">
        <v>191</v>
      </c>
      <c r="L671">
        <v>540</v>
      </c>
      <c r="M671">
        <v>1421</v>
      </c>
      <c r="N671" s="2">
        <v>1.338775110277007E-4</v>
      </c>
    </row>
    <row r="672" spans="1:14" x14ac:dyDescent="0.25">
      <c r="A672" t="s">
        <v>54</v>
      </c>
      <c r="B672" t="s">
        <v>144</v>
      </c>
      <c r="H672">
        <v>11</v>
      </c>
      <c r="I672">
        <v>43</v>
      </c>
      <c r="J672">
        <v>75</v>
      </c>
      <c r="K672">
        <v>36</v>
      </c>
      <c r="L672">
        <v>102</v>
      </c>
      <c r="M672">
        <v>267</v>
      </c>
      <c r="N672" s="2">
        <v>2.5155028461925459E-5</v>
      </c>
    </row>
    <row r="673" spans="1:14" x14ac:dyDescent="0.25">
      <c r="A673" t="s">
        <v>54</v>
      </c>
      <c r="B673" t="s">
        <v>85</v>
      </c>
      <c r="H673">
        <v>255</v>
      </c>
      <c r="I673">
        <v>139</v>
      </c>
      <c r="J673">
        <v>111</v>
      </c>
      <c r="K673">
        <v>88</v>
      </c>
      <c r="L673">
        <v>93</v>
      </c>
      <c r="M673">
        <v>686</v>
      </c>
      <c r="N673" s="2">
        <v>6.4630522565096876E-5</v>
      </c>
    </row>
    <row r="674" spans="1:14" x14ac:dyDescent="0.25">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x14ac:dyDescent="0.25">
      <c r="A675" t="s">
        <v>54</v>
      </c>
      <c r="B675" t="s">
        <v>116</v>
      </c>
      <c r="H675">
        <v>32</v>
      </c>
      <c r="I675">
        <v>4092</v>
      </c>
      <c r="J675">
        <v>263</v>
      </c>
      <c r="K675">
        <v>0</v>
      </c>
      <c r="L675">
        <v>0</v>
      </c>
      <c r="M675">
        <v>4387</v>
      </c>
      <c r="N675" s="2">
        <v>4.1331501821148688E-4</v>
      </c>
    </row>
    <row r="676" spans="1:14" x14ac:dyDescent="0.25">
      <c r="A676" t="s">
        <v>54</v>
      </c>
      <c r="B676" t="s">
        <v>116</v>
      </c>
      <c r="D676">
        <v>0</v>
      </c>
      <c r="E676">
        <v>0</v>
      </c>
      <c r="F676">
        <v>0</v>
      </c>
      <c r="G676">
        <v>0</v>
      </c>
      <c r="H676">
        <v>1100</v>
      </c>
      <c r="I676">
        <v>140000</v>
      </c>
      <c r="J676">
        <v>9000</v>
      </c>
      <c r="K676">
        <v>0</v>
      </c>
      <c r="L676">
        <v>0</v>
      </c>
      <c r="M676">
        <v>150100</v>
      </c>
      <c r="N676" s="2">
        <v>1.414145982073038E-2</v>
      </c>
    </row>
    <row r="677" spans="1:14" x14ac:dyDescent="0.25">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x14ac:dyDescent="0.25">
      <c r="A678" t="s">
        <v>54</v>
      </c>
      <c r="B678" t="s">
        <v>145</v>
      </c>
      <c r="C678">
        <v>4145</v>
      </c>
      <c r="D678">
        <v>4091</v>
      </c>
      <c r="E678">
        <v>2985</v>
      </c>
      <c r="F678">
        <v>2069</v>
      </c>
      <c r="G678">
        <v>1775</v>
      </c>
      <c r="H678">
        <v>2535</v>
      </c>
      <c r="I678">
        <v>3826</v>
      </c>
      <c r="J678">
        <v>1886</v>
      </c>
      <c r="K678">
        <v>0</v>
      </c>
      <c r="L678">
        <v>0</v>
      </c>
      <c r="M678">
        <v>8247</v>
      </c>
      <c r="N678" s="2">
        <v>7.769794746273381E-4</v>
      </c>
    </row>
    <row r="679" spans="1:14" x14ac:dyDescent="0.25">
      <c r="A679" t="s">
        <v>54</v>
      </c>
      <c r="B679" t="s">
        <v>145</v>
      </c>
      <c r="H679">
        <v>13830</v>
      </c>
      <c r="I679">
        <v>16361</v>
      </c>
      <c r="J679">
        <v>18948</v>
      </c>
      <c r="K679">
        <v>21481</v>
      </c>
      <c r="L679">
        <v>28265</v>
      </c>
      <c r="M679">
        <v>98885</v>
      </c>
      <c r="N679" s="2">
        <v>9.3163108219381993E-3</v>
      </c>
    </row>
    <row r="680" spans="1:14" x14ac:dyDescent="0.25">
      <c r="A680" t="s">
        <v>54</v>
      </c>
      <c r="B680" t="s">
        <v>145</v>
      </c>
      <c r="H680">
        <v>413</v>
      </c>
      <c r="I680">
        <v>624</v>
      </c>
      <c r="J680">
        <v>307</v>
      </c>
      <c r="K680">
        <v>0</v>
      </c>
      <c r="L680">
        <v>0</v>
      </c>
      <c r="M680">
        <v>1344</v>
      </c>
      <c r="N680" s="2">
        <v>1.2662306461733269E-4</v>
      </c>
    </row>
    <row r="681" spans="1:14" x14ac:dyDescent="0.25">
      <c r="A681" t="s">
        <v>54</v>
      </c>
      <c r="B681" t="s">
        <v>145</v>
      </c>
      <c r="H681">
        <v>871</v>
      </c>
      <c r="I681">
        <v>1067</v>
      </c>
      <c r="J681">
        <v>1639</v>
      </c>
      <c r="K681">
        <v>1490</v>
      </c>
      <c r="L681">
        <v>2001</v>
      </c>
      <c r="M681">
        <v>7068</v>
      </c>
      <c r="N681" s="2">
        <v>6.6590165231793696E-4</v>
      </c>
    </row>
    <row r="682" spans="1:14" x14ac:dyDescent="0.25">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x14ac:dyDescent="0.25">
      <c r="A683" t="s">
        <v>54</v>
      </c>
      <c r="B683" t="s">
        <v>86</v>
      </c>
      <c r="H683">
        <v>7000</v>
      </c>
      <c r="I683">
        <v>7100</v>
      </c>
      <c r="J683">
        <v>10800</v>
      </c>
      <c r="K683">
        <v>13300</v>
      </c>
      <c r="L683">
        <v>14000</v>
      </c>
      <c r="M683">
        <v>52200</v>
      </c>
      <c r="N683" s="2">
        <v>4.9179493846910451E-3</v>
      </c>
    </row>
    <row r="684" spans="1:14" x14ac:dyDescent="0.25">
      <c r="A684" t="s">
        <v>54</v>
      </c>
      <c r="B684" t="s">
        <v>175</v>
      </c>
      <c r="E684">
        <v>0</v>
      </c>
      <c r="F684">
        <v>0</v>
      </c>
      <c r="G684">
        <v>0</v>
      </c>
      <c r="H684">
        <v>0</v>
      </c>
      <c r="I684">
        <v>30000</v>
      </c>
      <c r="J684">
        <v>0</v>
      </c>
      <c r="K684">
        <v>0</v>
      </c>
      <c r="L684">
        <v>0</v>
      </c>
      <c r="M684">
        <v>30000</v>
      </c>
      <c r="N684" s="2">
        <v>2.8264076923511751E-3</v>
      </c>
    </row>
    <row r="685" spans="1:14" x14ac:dyDescent="0.25">
      <c r="A685" t="s">
        <v>54</v>
      </c>
      <c r="B685" t="s">
        <v>175</v>
      </c>
      <c r="H685">
        <v>0</v>
      </c>
      <c r="I685">
        <v>88</v>
      </c>
      <c r="J685">
        <v>0</v>
      </c>
      <c r="K685">
        <v>0</v>
      </c>
      <c r="L685">
        <v>0</v>
      </c>
      <c r="M685">
        <v>88</v>
      </c>
      <c r="N685" s="2">
        <v>8.2907958975634482E-6</v>
      </c>
    </row>
    <row r="686" spans="1:14" x14ac:dyDescent="0.25">
      <c r="A686" t="s">
        <v>54</v>
      </c>
      <c r="B686" t="s">
        <v>203</v>
      </c>
      <c r="H686">
        <v>0</v>
      </c>
      <c r="I686">
        <v>24</v>
      </c>
      <c r="J686">
        <v>2</v>
      </c>
      <c r="K686">
        <v>2</v>
      </c>
      <c r="L686">
        <v>2</v>
      </c>
      <c r="M686">
        <v>30</v>
      </c>
      <c r="N686" s="2">
        <v>2.8264076923511749E-6</v>
      </c>
    </row>
    <row r="687" spans="1:14" x14ac:dyDescent="0.25">
      <c r="A687" t="s">
        <v>54</v>
      </c>
      <c r="B687" t="s">
        <v>203</v>
      </c>
      <c r="G687">
        <v>0</v>
      </c>
      <c r="H687">
        <v>0</v>
      </c>
      <c r="I687">
        <v>1267</v>
      </c>
      <c r="J687">
        <v>133</v>
      </c>
      <c r="K687">
        <v>130</v>
      </c>
      <c r="L687">
        <v>130</v>
      </c>
      <c r="M687">
        <v>1660</v>
      </c>
      <c r="N687" s="2">
        <v>1.5639455897676499E-4</v>
      </c>
    </row>
    <row r="688" spans="1:14" x14ac:dyDescent="0.25">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x14ac:dyDescent="0.25">
      <c r="A689" t="s">
        <v>54</v>
      </c>
      <c r="B689" t="s">
        <v>178</v>
      </c>
      <c r="H689">
        <v>538</v>
      </c>
      <c r="I689">
        <v>535</v>
      </c>
      <c r="J689">
        <v>417</v>
      </c>
      <c r="K689">
        <v>161</v>
      </c>
      <c r="L689">
        <v>129</v>
      </c>
      <c r="M689">
        <v>1780</v>
      </c>
      <c r="N689" s="2">
        <v>1.6770018974616969E-4</v>
      </c>
    </row>
    <row r="690" spans="1:14" x14ac:dyDescent="0.25">
      <c r="A690" t="s">
        <v>54</v>
      </c>
      <c r="B690" t="s">
        <v>113</v>
      </c>
      <c r="H690">
        <v>4000</v>
      </c>
      <c r="I690">
        <v>7000</v>
      </c>
      <c r="J690">
        <v>4000</v>
      </c>
      <c r="K690">
        <v>4000</v>
      </c>
      <c r="L690">
        <v>5000</v>
      </c>
      <c r="M690">
        <v>24000</v>
      </c>
      <c r="N690" s="2">
        <v>2.261126153880941E-3</v>
      </c>
    </row>
    <row r="691" spans="1:14" x14ac:dyDescent="0.25">
      <c r="A691" t="s">
        <v>54</v>
      </c>
      <c r="B691" t="s">
        <v>158</v>
      </c>
      <c r="H691">
        <v>970</v>
      </c>
      <c r="I691">
        <v>1332</v>
      </c>
      <c r="J691">
        <v>1237</v>
      </c>
      <c r="K691">
        <v>397</v>
      </c>
      <c r="L691">
        <v>476</v>
      </c>
      <c r="M691">
        <v>4412</v>
      </c>
      <c r="N691" s="2">
        <v>4.1567035795511291E-4</v>
      </c>
    </row>
    <row r="692" spans="1:14" x14ac:dyDescent="0.25">
      <c r="A692" t="s">
        <v>54</v>
      </c>
      <c r="B692" t="s">
        <v>158</v>
      </c>
      <c r="G692">
        <v>48000</v>
      </c>
      <c r="H692">
        <v>51000</v>
      </c>
      <c r="I692">
        <v>70000</v>
      </c>
      <c r="J692">
        <v>65000</v>
      </c>
      <c r="K692">
        <v>20859</v>
      </c>
      <c r="L692">
        <v>25000</v>
      </c>
      <c r="M692">
        <v>231859</v>
      </c>
      <c r="N692" s="2">
        <v>2.1844268704695038E-2</v>
      </c>
    </row>
    <row r="693" spans="1:14" hidden="1" x14ac:dyDescent="0.25">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x14ac:dyDescent="0.25">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x14ac:dyDescent="0.25">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x14ac:dyDescent="0.25">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x14ac:dyDescent="0.25">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x14ac:dyDescent="0.25">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x14ac:dyDescent="0.25">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x14ac:dyDescent="0.25">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x14ac:dyDescent="0.25">
      <c r="A701" t="s">
        <v>53</v>
      </c>
      <c r="B701" t="s">
        <v>84</v>
      </c>
      <c r="C701">
        <v>3327</v>
      </c>
      <c r="D701">
        <v>2382</v>
      </c>
      <c r="E701">
        <v>1227</v>
      </c>
      <c r="F701">
        <v>142</v>
      </c>
      <c r="G701">
        <v>182</v>
      </c>
      <c r="H701">
        <v>25</v>
      </c>
      <c r="I701">
        <v>1</v>
      </c>
      <c r="J701">
        <v>0</v>
      </c>
      <c r="K701">
        <v>0</v>
      </c>
      <c r="L701">
        <v>0</v>
      </c>
      <c r="M701">
        <v>26</v>
      </c>
      <c r="N701" s="2">
        <v>4.1330486213906352E-7</v>
      </c>
    </row>
    <row r="702" spans="1:14" hidden="1" x14ac:dyDescent="0.25">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x14ac:dyDescent="0.25">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x14ac:dyDescent="0.25">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x14ac:dyDescent="0.25">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x14ac:dyDescent="0.25">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x14ac:dyDescent="0.25">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x14ac:dyDescent="0.25">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x14ac:dyDescent="0.25">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x14ac:dyDescent="0.25">
      <c r="A710" t="s">
        <v>53</v>
      </c>
      <c r="B710" t="s">
        <v>160</v>
      </c>
      <c r="G710">
        <v>5000</v>
      </c>
      <c r="H710">
        <v>5000</v>
      </c>
      <c r="I710">
        <v>5000</v>
      </c>
      <c r="J710">
        <v>5000</v>
      </c>
      <c r="K710">
        <v>5000</v>
      </c>
      <c r="L710">
        <v>5000</v>
      </c>
      <c r="M710">
        <v>25000</v>
      </c>
      <c r="N710" s="2">
        <v>3.97408521287561E-4</v>
      </c>
    </row>
    <row r="711" spans="1:14" hidden="1" x14ac:dyDescent="0.25">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x14ac:dyDescent="0.25">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x14ac:dyDescent="0.25">
      <c r="A713" t="s">
        <v>53</v>
      </c>
      <c r="B713" t="s">
        <v>128</v>
      </c>
      <c r="F713">
        <v>24000</v>
      </c>
      <c r="G713">
        <v>25000</v>
      </c>
      <c r="H713">
        <v>26000</v>
      </c>
      <c r="I713">
        <v>26000</v>
      </c>
      <c r="J713">
        <v>28000</v>
      </c>
      <c r="K713">
        <v>26000</v>
      </c>
      <c r="L713">
        <v>26000</v>
      </c>
      <c r="M713">
        <v>132000</v>
      </c>
      <c r="N713" s="2">
        <v>2.0983169923983222E-3</v>
      </c>
    </row>
    <row r="714" spans="1:14" hidden="1" x14ac:dyDescent="0.25">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x14ac:dyDescent="0.25">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x14ac:dyDescent="0.25">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x14ac:dyDescent="0.25">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x14ac:dyDescent="0.25">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x14ac:dyDescent="0.25">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x14ac:dyDescent="0.25">
      <c r="A720" t="s">
        <v>53</v>
      </c>
      <c r="B720" t="s">
        <v>197</v>
      </c>
      <c r="C720">
        <v>0</v>
      </c>
      <c r="D720">
        <v>0</v>
      </c>
      <c r="E720">
        <v>0</v>
      </c>
      <c r="F720">
        <v>0</v>
      </c>
      <c r="G720">
        <v>0</v>
      </c>
      <c r="H720">
        <v>4500</v>
      </c>
      <c r="I720">
        <v>8000</v>
      </c>
      <c r="J720">
        <v>5000</v>
      </c>
      <c r="K720">
        <v>5000</v>
      </c>
      <c r="L720">
        <v>6000</v>
      </c>
      <c r="M720">
        <v>28500</v>
      </c>
      <c r="N720" s="2">
        <v>4.5304571426781949E-4</v>
      </c>
    </row>
    <row r="721" spans="1:14" hidden="1" x14ac:dyDescent="0.25">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x14ac:dyDescent="0.25">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x14ac:dyDescent="0.25">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x14ac:dyDescent="0.25">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x14ac:dyDescent="0.25">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x14ac:dyDescent="0.25">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x14ac:dyDescent="0.25">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x14ac:dyDescent="0.25">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x14ac:dyDescent="0.25">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x14ac:dyDescent="0.25">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x14ac:dyDescent="0.25">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x14ac:dyDescent="0.25">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x14ac:dyDescent="0.25">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x14ac:dyDescent="0.25">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x14ac:dyDescent="0.25">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x14ac:dyDescent="0.25">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x14ac:dyDescent="0.25">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x14ac:dyDescent="0.25">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x14ac:dyDescent="0.25">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x14ac:dyDescent="0.25">
      <c r="A740" t="s">
        <v>53</v>
      </c>
      <c r="B740" t="s">
        <v>133</v>
      </c>
      <c r="H740">
        <v>5</v>
      </c>
      <c r="I740">
        <v>10</v>
      </c>
      <c r="J740">
        <v>10</v>
      </c>
      <c r="K740">
        <v>9</v>
      </c>
      <c r="L740">
        <v>10</v>
      </c>
      <c r="M740">
        <v>44</v>
      </c>
      <c r="N740" s="2">
        <v>6.9943899746610734E-7</v>
      </c>
    </row>
    <row r="741" spans="1:14" hidden="1" x14ac:dyDescent="0.25">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x14ac:dyDescent="0.25">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x14ac:dyDescent="0.25">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x14ac:dyDescent="0.25">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x14ac:dyDescent="0.25">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x14ac:dyDescent="0.25">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x14ac:dyDescent="0.25">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x14ac:dyDescent="0.25">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x14ac:dyDescent="0.25">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x14ac:dyDescent="0.25">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x14ac:dyDescent="0.25">
      <c r="A751" t="s">
        <v>53</v>
      </c>
      <c r="B751" t="s">
        <v>135</v>
      </c>
      <c r="F751">
        <v>3155</v>
      </c>
      <c r="G751">
        <v>110</v>
      </c>
      <c r="H751">
        <v>9000</v>
      </c>
      <c r="I751">
        <v>9000</v>
      </c>
      <c r="J751">
        <v>9000</v>
      </c>
      <c r="K751">
        <v>8000</v>
      </c>
      <c r="L751">
        <v>9000</v>
      </c>
      <c r="M751">
        <v>44000</v>
      </c>
      <c r="N751" s="2">
        <v>6.9943899746610736E-4</v>
      </c>
    </row>
    <row r="752" spans="1:14" hidden="1" x14ac:dyDescent="0.25">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x14ac:dyDescent="0.25">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x14ac:dyDescent="0.25">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x14ac:dyDescent="0.25">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x14ac:dyDescent="0.25">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x14ac:dyDescent="0.25">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x14ac:dyDescent="0.25">
      <c r="A758" t="s">
        <v>53</v>
      </c>
      <c r="B758" t="s">
        <v>139</v>
      </c>
      <c r="K758">
        <v>2800</v>
      </c>
      <c r="L758">
        <v>3000</v>
      </c>
      <c r="M758">
        <v>5800</v>
      </c>
      <c r="N758" s="2">
        <v>9.2198776938714157E-5</v>
      </c>
    </row>
    <row r="759" spans="1:14" hidden="1" x14ac:dyDescent="0.25">
      <c r="A759" t="s">
        <v>53</v>
      </c>
      <c r="B759" t="s">
        <v>111</v>
      </c>
      <c r="G759">
        <v>0</v>
      </c>
      <c r="H759">
        <v>0</v>
      </c>
      <c r="I759">
        <v>0</v>
      </c>
      <c r="J759">
        <v>0</v>
      </c>
      <c r="K759">
        <v>2800</v>
      </c>
      <c r="L759">
        <v>6000</v>
      </c>
      <c r="M759">
        <v>8800</v>
      </c>
      <c r="N759" s="2">
        <v>1.3988779949322149E-4</v>
      </c>
    </row>
    <row r="760" spans="1:14" hidden="1" x14ac:dyDescent="0.25">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x14ac:dyDescent="0.25">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x14ac:dyDescent="0.25">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x14ac:dyDescent="0.25">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x14ac:dyDescent="0.25">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x14ac:dyDescent="0.25">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x14ac:dyDescent="0.25">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x14ac:dyDescent="0.25">
      <c r="A767" t="s">
        <v>53</v>
      </c>
      <c r="B767" t="s">
        <v>180</v>
      </c>
      <c r="H767">
        <v>26000</v>
      </c>
      <c r="I767">
        <v>21300</v>
      </c>
      <c r="J767">
        <v>21000</v>
      </c>
      <c r="K767">
        <v>20000</v>
      </c>
      <c r="L767">
        <v>20000</v>
      </c>
      <c r="M767">
        <v>108300</v>
      </c>
      <c r="N767" s="2">
        <v>1.7215737142177139E-3</v>
      </c>
    </row>
    <row r="768" spans="1:14" hidden="1" x14ac:dyDescent="0.25">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x14ac:dyDescent="0.25">
      <c r="A769" t="s">
        <v>53</v>
      </c>
      <c r="B769" t="s">
        <v>115</v>
      </c>
      <c r="F769">
        <v>22000</v>
      </c>
      <c r="G769">
        <v>25000</v>
      </c>
      <c r="H769">
        <v>31200</v>
      </c>
      <c r="I769">
        <v>32000</v>
      </c>
      <c r="J769">
        <v>34000</v>
      </c>
      <c r="K769">
        <v>34000</v>
      </c>
      <c r="L769">
        <v>34000</v>
      </c>
      <c r="M769">
        <v>165200</v>
      </c>
      <c r="N769" s="2">
        <v>2.6260755086682029E-3</v>
      </c>
    </row>
    <row r="770" spans="1:14" hidden="1" x14ac:dyDescent="0.25">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x14ac:dyDescent="0.25">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x14ac:dyDescent="0.25">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x14ac:dyDescent="0.25">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x14ac:dyDescent="0.25">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x14ac:dyDescent="0.25">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x14ac:dyDescent="0.25">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x14ac:dyDescent="0.25">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x14ac:dyDescent="0.25">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x14ac:dyDescent="0.25">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x14ac:dyDescent="0.25">
      <c r="A780" t="s">
        <v>52</v>
      </c>
      <c r="B780" t="s">
        <v>160</v>
      </c>
      <c r="E780">
        <v>0</v>
      </c>
      <c r="F780">
        <v>0</v>
      </c>
      <c r="G780">
        <v>0</v>
      </c>
      <c r="H780">
        <v>1500</v>
      </c>
      <c r="I780">
        <v>25400</v>
      </c>
      <c r="J780">
        <v>35000</v>
      </c>
      <c r="K780">
        <v>30000</v>
      </c>
      <c r="L780">
        <v>30000</v>
      </c>
      <c r="M780">
        <v>121900</v>
      </c>
      <c r="N780" s="2">
        <v>5.3281879676315416E-3</v>
      </c>
    </row>
    <row r="781" spans="1:14" hidden="1" x14ac:dyDescent="0.25">
      <c r="A781" t="s">
        <v>52</v>
      </c>
      <c r="B781" t="s">
        <v>154</v>
      </c>
      <c r="F781">
        <v>0</v>
      </c>
      <c r="G781">
        <v>0</v>
      </c>
      <c r="H781">
        <v>0</v>
      </c>
      <c r="I781">
        <v>0</v>
      </c>
      <c r="J781">
        <v>937</v>
      </c>
      <c r="K781">
        <v>1530</v>
      </c>
      <c r="L781">
        <v>1494</v>
      </c>
      <c r="M781">
        <v>3961</v>
      </c>
      <c r="N781" s="2">
        <v>1.731333268235319E-4</v>
      </c>
    </row>
    <row r="782" spans="1:14" hidden="1" x14ac:dyDescent="0.25">
      <c r="A782" t="s">
        <v>52</v>
      </c>
      <c r="B782" t="s">
        <v>169</v>
      </c>
      <c r="H782">
        <v>0</v>
      </c>
      <c r="I782">
        <v>0</v>
      </c>
      <c r="J782">
        <v>0</v>
      </c>
      <c r="K782">
        <v>1124</v>
      </c>
      <c r="L782">
        <v>1190</v>
      </c>
      <c r="M782">
        <v>2314</v>
      </c>
      <c r="N782" s="2">
        <v>1.011437814364183E-4</v>
      </c>
    </row>
    <row r="783" spans="1:14" hidden="1" x14ac:dyDescent="0.25">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x14ac:dyDescent="0.25">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x14ac:dyDescent="0.25">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x14ac:dyDescent="0.25">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x14ac:dyDescent="0.25">
      <c r="A787" t="s">
        <v>52</v>
      </c>
      <c r="B787" t="s">
        <v>98</v>
      </c>
      <c r="D787">
        <v>6200</v>
      </c>
      <c r="E787">
        <v>4700</v>
      </c>
      <c r="F787">
        <v>5500</v>
      </c>
      <c r="G787">
        <v>5300</v>
      </c>
      <c r="H787">
        <v>7900</v>
      </c>
      <c r="I787">
        <v>11400</v>
      </c>
      <c r="J787">
        <v>10800</v>
      </c>
      <c r="K787">
        <v>6500</v>
      </c>
      <c r="L787">
        <v>7660</v>
      </c>
      <c r="M787">
        <v>44260</v>
      </c>
      <c r="N787" s="2">
        <v>1.9345824400932899E-3</v>
      </c>
    </row>
    <row r="788" spans="1:14" hidden="1" x14ac:dyDescent="0.25">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x14ac:dyDescent="0.25">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x14ac:dyDescent="0.25">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x14ac:dyDescent="0.25">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x14ac:dyDescent="0.25">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x14ac:dyDescent="0.25">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x14ac:dyDescent="0.25">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x14ac:dyDescent="0.25">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x14ac:dyDescent="0.25">
      <c r="A796" t="s">
        <v>52</v>
      </c>
      <c r="B796" t="s">
        <v>173</v>
      </c>
      <c r="D796">
        <v>200</v>
      </c>
      <c r="E796">
        <v>500</v>
      </c>
      <c r="F796">
        <v>200</v>
      </c>
      <c r="G796">
        <v>4700</v>
      </c>
      <c r="H796">
        <v>7400</v>
      </c>
      <c r="I796">
        <v>11600</v>
      </c>
      <c r="J796">
        <v>14000</v>
      </c>
      <c r="K796">
        <v>12400</v>
      </c>
      <c r="L796">
        <v>9100</v>
      </c>
      <c r="M796">
        <v>54500</v>
      </c>
      <c r="N796" s="2">
        <v>2.382167713174069E-3</v>
      </c>
    </row>
    <row r="797" spans="1:14" hidden="1" x14ac:dyDescent="0.25">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x14ac:dyDescent="0.25">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x14ac:dyDescent="0.25">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x14ac:dyDescent="0.25">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x14ac:dyDescent="0.25">
      <c r="A801" t="s">
        <v>52</v>
      </c>
      <c r="B801" t="s">
        <v>214</v>
      </c>
      <c r="D801">
        <v>0</v>
      </c>
      <c r="E801">
        <v>0</v>
      </c>
      <c r="F801">
        <v>0</v>
      </c>
      <c r="G801">
        <v>0</v>
      </c>
      <c r="H801">
        <v>3900</v>
      </c>
      <c r="I801">
        <v>0</v>
      </c>
      <c r="J801">
        <v>0</v>
      </c>
      <c r="K801">
        <v>0</v>
      </c>
      <c r="L801">
        <v>0</v>
      </c>
      <c r="M801">
        <v>3900</v>
      </c>
      <c r="N801" s="2">
        <v>1.7046704736474989E-4</v>
      </c>
    </row>
    <row r="802" spans="1:14" hidden="1" x14ac:dyDescent="0.25">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x14ac:dyDescent="0.25">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x14ac:dyDescent="0.25">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x14ac:dyDescent="0.25">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x14ac:dyDescent="0.25">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x14ac:dyDescent="0.25">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x14ac:dyDescent="0.25">
      <c r="A808" t="s">
        <v>52</v>
      </c>
      <c r="B808" t="s">
        <v>120</v>
      </c>
      <c r="C808">
        <v>5300</v>
      </c>
      <c r="D808">
        <v>400</v>
      </c>
      <c r="E808">
        <v>0</v>
      </c>
      <c r="F808">
        <v>0</v>
      </c>
      <c r="G808">
        <v>0</v>
      </c>
      <c r="H808">
        <v>900</v>
      </c>
      <c r="I808">
        <v>1200</v>
      </c>
      <c r="J808">
        <v>200</v>
      </c>
      <c r="K808">
        <v>0</v>
      </c>
      <c r="L808">
        <v>0</v>
      </c>
      <c r="M808">
        <v>2300</v>
      </c>
      <c r="N808" s="2">
        <v>1.005318484458782E-4</v>
      </c>
    </row>
    <row r="809" spans="1:14" hidden="1" x14ac:dyDescent="0.25">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x14ac:dyDescent="0.25">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x14ac:dyDescent="0.25">
      <c r="A811" t="s">
        <v>52</v>
      </c>
      <c r="B811" t="s">
        <v>135</v>
      </c>
      <c r="C811">
        <v>166</v>
      </c>
      <c r="D811">
        <v>235</v>
      </c>
      <c r="E811">
        <v>162</v>
      </c>
      <c r="F811">
        <v>226</v>
      </c>
      <c r="G811">
        <v>133</v>
      </c>
      <c r="H811">
        <v>147</v>
      </c>
      <c r="I811">
        <v>114</v>
      </c>
      <c r="J811">
        <v>111</v>
      </c>
      <c r="K811">
        <v>102</v>
      </c>
      <c r="L811">
        <v>101</v>
      </c>
      <c r="M811">
        <v>575</v>
      </c>
      <c r="N811" s="2">
        <v>2.513296211146954E-5</v>
      </c>
    </row>
    <row r="812" spans="1:14" hidden="1" x14ac:dyDescent="0.25">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x14ac:dyDescent="0.25">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x14ac:dyDescent="0.25">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x14ac:dyDescent="0.25">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x14ac:dyDescent="0.25">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x14ac:dyDescent="0.25">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x14ac:dyDescent="0.25">
      <c r="A818" t="s">
        <v>52</v>
      </c>
      <c r="B818" t="s">
        <v>140</v>
      </c>
      <c r="C818">
        <v>61</v>
      </c>
      <c r="D818">
        <v>100</v>
      </c>
      <c r="E818">
        <v>100</v>
      </c>
      <c r="F818">
        <v>100</v>
      </c>
      <c r="G818">
        <v>100</v>
      </c>
      <c r="H818">
        <v>100</v>
      </c>
      <c r="I818">
        <v>100</v>
      </c>
      <c r="J818">
        <v>150</v>
      </c>
      <c r="K818">
        <v>100</v>
      </c>
      <c r="L818">
        <v>100</v>
      </c>
      <c r="M818">
        <v>550</v>
      </c>
      <c r="N818" s="2">
        <v>2.4040224628362169E-5</v>
      </c>
    </row>
    <row r="819" spans="1:14" hidden="1" x14ac:dyDescent="0.25">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x14ac:dyDescent="0.25">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x14ac:dyDescent="0.25">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x14ac:dyDescent="0.25">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x14ac:dyDescent="0.25">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x14ac:dyDescent="0.25">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x14ac:dyDescent="0.25">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x14ac:dyDescent="0.25">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x14ac:dyDescent="0.25">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x14ac:dyDescent="0.25">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x14ac:dyDescent="0.25">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x14ac:dyDescent="0.25">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x14ac:dyDescent="0.25">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x14ac:dyDescent="0.25">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x14ac:dyDescent="0.25">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x14ac:dyDescent="0.25">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x14ac:dyDescent="0.25">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x14ac:dyDescent="0.25">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x14ac:dyDescent="0.25">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x14ac:dyDescent="0.25">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x14ac:dyDescent="0.25">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x14ac:dyDescent="0.25">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x14ac:dyDescent="0.25">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x14ac:dyDescent="0.25">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x14ac:dyDescent="0.25">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x14ac:dyDescent="0.25">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x14ac:dyDescent="0.25">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x14ac:dyDescent="0.25">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x14ac:dyDescent="0.25">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x14ac:dyDescent="0.25">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x14ac:dyDescent="0.25">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x14ac:dyDescent="0.25">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x14ac:dyDescent="0.25">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x14ac:dyDescent="0.25">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x14ac:dyDescent="0.25">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x14ac:dyDescent="0.25">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x14ac:dyDescent="0.25">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x14ac:dyDescent="0.25">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x14ac:dyDescent="0.25">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x14ac:dyDescent="0.25">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x14ac:dyDescent="0.25">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x14ac:dyDescent="0.25">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x14ac:dyDescent="0.25">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x14ac:dyDescent="0.25">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x14ac:dyDescent="0.25">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x14ac:dyDescent="0.25">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x14ac:dyDescent="0.25">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x14ac:dyDescent="0.25">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x14ac:dyDescent="0.25">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x14ac:dyDescent="0.25">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x14ac:dyDescent="0.25">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x14ac:dyDescent="0.25">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x14ac:dyDescent="0.25">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x14ac:dyDescent="0.25">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x14ac:dyDescent="0.25">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x14ac:dyDescent="0.25">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x14ac:dyDescent="0.25">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x14ac:dyDescent="0.25">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x14ac:dyDescent="0.25">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x14ac:dyDescent="0.25">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x14ac:dyDescent="0.25">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x14ac:dyDescent="0.25">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x14ac:dyDescent="0.25">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x14ac:dyDescent="0.25">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x14ac:dyDescent="0.25">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x14ac:dyDescent="0.25">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x14ac:dyDescent="0.25">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x14ac:dyDescent="0.25">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x14ac:dyDescent="0.25">
      <c r="A887" t="s">
        <v>31</v>
      </c>
      <c r="B887" t="s">
        <v>196</v>
      </c>
      <c r="C887">
        <v>1000</v>
      </c>
      <c r="D887">
        <v>778</v>
      </c>
      <c r="H887">
        <v>6360</v>
      </c>
      <c r="I887">
        <v>6172</v>
      </c>
      <c r="J887">
        <v>69</v>
      </c>
      <c r="K887">
        <v>62</v>
      </c>
      <c r="L887">
        <v>60</v>
      </c>
      <c r="M887">
        <v>12723</v>
      </c>
      <c r="N887" s="2">
        <v>8.2111499066212875E-7</v>
      </c>
    </row>
    <row r="888" spans="1:14" hidden="1" x14ac:dyDescent="0.25">
      <c r="A888" t="s">
        <v>31</v>
      </c>
      <c r="B888" t="s">
        <v>94</v>
      </c>
      <c r="G888">
        <v>0</v>
      </c>
      <c r="H888">
        <v>0</v>
      </c>
      <c r="I888">
        <v>0</v>
      </c>
      <c r="J888">
        <v>0</v>
      </c>
      <c r="K888">
        <v>644245</v>
      </c>
      <c r="L888">
        <v>1752558</v>
      </c>
      <c r="M888">
        <v>2396803</v>
      </c>
      <c r="N888" s="2">
        <v>1.546844983859123E-4</v>
      </c>
    </row>
    <row r="889" spans="1:14" hidden="1" x14ac:dyDescent="0.25">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x14ac:dyDescent="0.25">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x14ac:dyDescent="0.25">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x14ac:dyDescent="0.25">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x14ac:dyDescent="0.25">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x14ac:dyDescent="0.25">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x14ac:dyDescent="0.25">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x14ac:dyDescent="0.25">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x14ac:dyDescent="0.25">
      <c r="A897" t="s">
        <v>31</v>
      </c>
      <c r="B897" t="s">
        <v>213</v>
      </c>
      <c r="C897">
        <v>0</v>
      </c>
      <c r="D897">
        <v>0</v>
      </c>
      <c r="E897">
        <v>0</v>
      </c>
      <c r="F897">
        <v>0</v>
      </c>
      <c r="G897">
        <v>3800</v>
      </c>
      <c r="H897">
        <v>5000</v>
      </c>
      <c r="I897">
        <v>2563</v>
      </c>
      <c r="J897">
        <v>3000</v>
      </c>
      <c r="K897">
        <v>5018</v>
      </c>
      <c r="L897">
        <v>4980</v>
      </c>
      <c r="M897">
        <v>20561</v>
      </c>
      <c r="N897" s="2">
        <v>1.3269626128274799E-6</v>
      </c>
    </row>
    <row r="898" spans="1:14" hidden="1" x14ac:dyDescent="0.25">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x14ac:dyDescent="0.25">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x14ac:dyDescent="0.25">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x14ac:dyDescent="0.25">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x14ac:dyDescent="0.25">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x14ac:dyDescent="0.25">
      <c r="A903" t="s">
        <v>31</v>
      </c>
      <c r="B903" t="s">
        <v>175</v>
      </c>
      <c r="E903">
        <v>0</v>
      </c>
      <c r="F903">
        <v>4000</v>
      </c>
      <c r="G903">
        <v>8478</v>
      </c>
      <c r="H903">
        <v>2450</v>
      </c>
      <c r="I903">
        <v>3824</v>
      </c>
      <c r="J903">
        <v>15646</v>
      </c>
      <c r="K903">
        <v>66164</v>
      </c>
      <c r="L903">
        <v>75718</v>
      </c>
      <c r="M903">
        <v>163802</v>
      </c>
      <c r="N903" s="2">
        <v>1.0571427941557651E-5</v>
      </c>
    </row>
    <row r="904" spans="1:14" hidden="1" x14ac:dyDescent="0.25">
      <c r="A904" t="s">
        <v>31</v>
      </c>
      <c r="B904" t="s">
        <v>214</v>
      </c>
      <c r="D904">
        <v>0</v>
      </c>
      <c r="E904">
        <v>0</v>
      </c>
      <c r="F904">
        <v>0</v>
      </c>
      <c r="G904">
        <v>0</v>
      </c>
      <c r="H904">
        <v>772</v>
      </c>
      <c r="I904">
        <v>396</v>
      </c>
      <c r="J904">
        <v>267</v>
      </c>
      <c r="K904">
        <v>0</v>
      </c>
      <c r="L904">
        <v>0</v>
      </c>
      <c r="M904">
        <v>1435</v>
      </c>
      <c r="N904" s="2">
        <v>9.2611806303556921E-8</v>
      </c>
    </row>
    <row r="905" spans="1:14" hidden="1" x14ac:dyDescent="0.25">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x14ac:dyDescent="0.25">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x14ac:dyDescent="0.25">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x14ac:dyDescent="0.25">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x14ac:dyDescent="0.25">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x14ac:dyDescent="0.25">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x14ac:dyDescent="0.25">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x14ac:dyDescent="0.25">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x14ac:dyDescent="0.25">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x14ac:dyDescent="0.25">
      <c r="A914" t="s">
        <v>31</v>
      </c>
      <c r="B914" t="s">
        <v>121</v>
      </c>
      <c r="H914">
        <v>0</v>
      </c>
      <c r="I914">
        <v>0</v>
      </c>
      <c r="J914">
        <v>0</v>
      </c>
      <c r="K914">
        <v>20000</v>
      </c>
      <c r="L914">
        <v>50000</v>
      </c>
      <c r="M914">
        <v>70000</v>
      </c>
      <c r="N914" s="2">
        <v>4.5176490879783862E-6</v>
      </c>
    </row>
    <row r="915" spans="1:14" hidden="1" x14ac:dyDescent="0.25">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x14ac:dyDescent="0.25">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x14ac:dyDescent="0.25">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x14ac:dyDescent="0.25">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x14ac:dyDescent="0.25">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x14ac:dyDescent="0.25">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x14ac:dyDescent="0.25">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x14ac:dyDescent="0.25">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x14ac:dyDescent="0.25">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x14ac:dyDescent="0.25">
      <c r="A924" t="s">
        <v>30</v>
      </c>
      <c r="B924" t="s">
        <v>163</v>
      </c>
      <c r="C924">
        <v>30</v>
      </c>
      <c r="D924">
        <v>30</v>
      </c>
      <c r="E924">
        <v>25</v>
      </c>
      <c r="F924">
        <v>25</v>
      </c>
      <c r="G924">
        <v>20</v>
      </c>
      <c r="H924">
        <v>20</v>
      </c>
      <c r="I924">
        <v>22</v>
      </c>
      <c r="J924">
        <v>20</v>
      </c>
      <c r="K924">
        <v>20</v>
      </c>
      <c r="L924">
        <v>20</v>
      </c>
      <c r="M924">
        <v>102</v>
      </c>
      <c r="N924" s="2">
        <v>2.5086079685194291E-2</v>
      </c>
    </row>
    <row r="925" spans="1:14" hidden="1" x14ac:dyDescent="0.25">
      <c r="A925" t="s">
        <v>30</v>
      </c>
      <c r="B925" t="s">
        <v>85</v>
      </c>
      <c r="C925">
        <v>5</v>
      </c>
      <c r="D925">
        <v>5</v>
      </c>
      <c r="E925">
        <v>5</v>
      </c>
      <c r="F925">
        <v>5</v>
      </c>
      <c r="G925">
        <v>5</v>
      </c>
      <c r="H925">
        <v>5</v>
      </c>
      <c r="I925">
        <v>5</v>
      </c>
      <c r="J925">
        <v>5</v>
      </c>
      <c r="K925">
        <v>5</v>
      </c>
      <c r="L925">
        <v>5</v>
      </c>
      <c r="M925">
        <v>25</v>
      </c>
      <c r="N925" s="2">
        <v>6.1485489424495821E-3</v>
      </c>
    </row>
    <row r="926" spans="1:14" hidden="1" x14ac:dyDescent="0.25">
      <c r="A926" t="s">
        <v>30</v>
      </c>
      <c r="B926" t="s">
        <v>116</v>
      </c>
      <c r="C926">
        <v>65</v>
      </c>
      <c r="D926">
        <v>70</v>
      </c>
      <c r="E926">
        <v>67</v>
      </c>
      <c r="F926">
        <v>70</v>
      </c>
      <c r="G926">
        <v>71</v>
      </c>
      <c r="H926">
        <v>67</v>
      </c>
      <c r="I926">
        <v>58</v>
      </c>
      <c r="J926">
        <v>61</v>
      </c>
      <c r="K926">
        <v>61</v>
      </c>
      <c r="L926">
        <v>44</v>
      </c>
      <c r="M926">
        <v>291</v>
      </c>
      <c r="N926" s="2">
        <v>7.1569109690113139E-2</v>
      </c>
    </row>
    <row r="927" spans="1:14" hidden="1" x14ac:dyDescent="0.25">
      <c r="A927" t="s">
        <v>30</v>
      </c>
      <c r="B927" t="s">
        <v>86</v>
      </c>
      <c r="C927">
        <v>405</v>
      </c>
      <c r="D927">
        <v>415</v>
      </c>
      <c r="E927">
        <v>460</v>
      </c>
      <c r="F927">
        <v>520</v>
      </c>
      <c r="G927">
        <v>510</v>
      </c>
      <c r="H927">
        <v>478</v>
      </c>
      <c r="I927">
        <v>483</v>
      </c>
      <c r="J927">
        <v>534</v>
      </c>
      <c r="K927">
        <v>500</v>
      </c>
      <c r="L927">
        <v>500</v>
      </c>
      <c r="M927">
        <v>2495</v>
      </c>
      <c r="N927" s="2">
        <v>0.6136251844564683</v>
      </c>
    </row>
    <row r="928" spans="1:14" hidden="1" x14ac:dyDescent="0.25">
      <c r="A928" t="s">
        <v>30</v>
      </c>
      <c r="B928" t="s">
        <v>91</v>
      </c>
      <c r="C928">
        <v>13</v>
      </c>
      <c r="D928">
        <v>33</v>
      </c>
      <c r="E928">
        <v>43</v>
      </c>
      <c r="F928">
        <v>41</v>
      </c>
      <c r="G928">
        <v>0</v>
      </c>
      <c r="H928">
        <v>30</v>
      </c>
      <c r="I928">
        <v>43</v>
      </c>
      <c r="J928">
        <v>40</v>
      </c>
      <c r="K928">
        <v>38</v>
      </c>
      <c r="L928">
        <v>35</v>
      </c>
      <c r="M928">
        <v>186</v>
      </c>
      <c r="N928" s="2">
        <v>4.5745204131824889E-2</v>
      </c>
    </row>
    <row r="929" spans="1:14" hidden="1" x14ac:dyDescent="0.25">
      <c r="A929" t="s">
        <v>30</v>
      </c>
      <c r="B929" t="s">
        <v>182</v>
      </c>
      <c r="C929">
        <v>5</v>
      </c>
      <c r="D929">
        <v>5</v>
      </c>
      <c r="E929">
        <v>5</v>
      </c>
      <c r="F929">
        <v>5</v>
      </c>
      <c r="G929">
        <v>5</v>
      </c>
      <c r="H929">
        <v>5</v>
      </c>
      <c r="I929">
        <v>5</v>
      </c>
      <c r="J929">
        <v>5</v>
      </c>
      <c r="K929">
        <v>5</v>
      </c>
      <c r="L929">
        <v>5</v>
      </c>
      <c r="M929">
        <v>25</v>
      </c>
      <c r="N929" s="2">
        <v>6.1485489424495821E-3</v>
      </c>
    </row>
    <row r="930" spans="1:14" hidden="1" x14ac:dyDescent="0.25">
      <c r="A930" t="s">
        <v>30</v>
      </c>
      <c r="B930" t="s">
        <v>119</v>
      </c>
      <c r="C930">
        <v>70</v>
      </c>
      <c r="D930">
        <v>70</v>
      </c>
      <c r="E930">
        <v>70</v>
      </c>
      <c r="F930">
        <v>70</v>
      </c>
      <c r="G930">
        <v>70</v>
      </c>
      <c r="H930">
        <v>70</v>
      </c>
      <c r="I930">
        <v>70</v>
      </c>
      <c r="J930">
        <v>70</v>
      </c>
      <c r="K930">
        <v>70</v>
      </c>
      <c r="L930">
        <v>70</v>
      </c>
      <c r="M930">
        <v>350</v>
      </c>
      <c r="N930" s="2">
        <v>8.6079685194294153E-2</v>
      </c>
    </row>
    <row r="931" spans="1:14" hidden="1" x14ac:dyDescent="0.25">
      <c r="A931" t="s">
        <v>30</v>
      </c>
      <c r="B931" t="s">
        <v>148</v>
      </c>
      <c r="C931">
        <v>100</v>
      </c>
      <c r="D931">
        <v>100</v>
      </c>
      <c r="E931">
        <v>100</v>
      </c>
      <c r="F931">
        <v>100</v>
      </c>
      <c r="G931">
        <v>100</v>
      </c>
      <c r="H931">
        <v>100</v>
      </c>
      <c r="I931">
        <v>100</v>
      </c>
      <c r="J931">
        <v>100</v>
      </c>
      <c r="K931">
        <v>100</v>
      </c>
      <c r="L931">
        <v>100</v>
      </c>
      <c r="M931">
        <v>500</v>
      </c>
      <c r="N931" s="2">
        <v>0.12297097884899159</v>
      </c>
    </row>
    <row r="932" spans="1:14" hidden="1" x14ac:dyDescent="0.25">
      <c r="A932" t="s">
        <v>30</v>
      </c>
      <c r="B932" t="s">
        <v>146</v>
      </c>
      <c r="C932">
        <v>11</v>
      </c>
      <c r="D932">
        <v>11</v>
      </c>
      <c r="E932">
        <v>14</v>
      </c>
      <c r="F932">
        <v>9</v>
      </c>
      <c r="G932">
        <v>10</v>
      </c>
      <c r="H932">
        <v>10</v>
      </c>
      <c r="I932">
        <v>11</v>
      </c>
      <c r="J932">
        <v>12</v>
      </c>
      <c r="K932">
        <v>12</v>
      </c>
      <c r="L932">
        <v>12</v>
      </c>
      <c r="M932">
        <v>57</v>
      </c>
      <c r="N932" s="2">
        <v>1.401869158878505E-2</v>
      </c>
    </row>
    <row r="933" spans="1:14" hidden="1" x14ac:dyDescent="0.25">
      <c r="A933" t="s">
        <v>30</v>
      </c>
      <c r="B933" t="s">
        <v>107</v>
      </c>
      <c r="C933">
        <v>7</v>
      </c>
      <c r="D933">
        <v>7</v>
      </c>
      <c r="E933">
        <v>7</v>
      </c>
      <c r="F933">
        <v>7</v>
      </c>
      <c r="G933">
        <v>7</v>
      </c>
      <c r="H933">
        <v>7</v>
      </c>
      <c r="I933">
        <v>7</v>
      </c>
      <c r="J933">
        <v>7</v>
      </c>
      <c r="K933">
        <v>7</v>
      </c>
      <c r="L933">
        <v>7</v>
      </c>
      <c r="M933">
        <v>35</v>
      </c>
      <c r="N933" s="2">
        <v>8.607968519429415E-3</v>
      </c>
    </row>
    <row r="934" spans="1:14" hidden="1" x14ac:dyDescent="0.25">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x14ac:dyDescent="0.25">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x14ac:dyDescent="0.25">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x14ac:dyDescent="0.25">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x14ac:dyDescent="0.25">
      <c r="A938" t="s">
        <v>74</v>
      </c>
      <c r="B938" t="s">
        <v>236</v>
      </c>
      <c r="H938">
        <v>3975</v>
      </c>
      <c r="I938">
        <v>1077</v>
      </c>
      <c r="J938">
        <v>9325</v>
      </c>
      <c r="K938">
        <v>6454</v>
      </c>
      <c r="L938">
        <v>14126</v>
      </c>
      <c r="M938">
        <v>34957</v>
      </c>
      <c r="N938" s="2">
        <v>5.6490662735165186E-4</v>
      </c>
    </row>
    <row r="939" spans="1:14" hidden="1" x14ac:dyDescent="0.25">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x14ac:dyDescent="0.25">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x14ac:dyDescent="0.25">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x14ac:dyDescent="0.25">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x14ac:dyDescent="0.25">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x14ac:dyDescent="0.25">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x14ac:dyDescent="0.25">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x14ac:dyDescent="0.25">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x14ac:dyDescent="0.25">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x14ac:dyDescent="0.25">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x14ac:dyDescent="0.25">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x14ac:dyDescent="0.25">
      <c r="A950" t="s">
        <v>74</v>
      </c>
      <c r="B950" t="s">
        <v>215</v>
      </c>
      <c r="F950">
        <v>0</v>
      </c>
      <c r="G950">
        <v>0</v>
      </c>
      <c r="H950">
        <v>8</v>
      </c>
      <c r="I950">
        <v>41</v>
      </c>
      <c r="J950">
        <v>5095</v>
      </c>
      <c r="K950">
        <v>153</v>
      </c>
      <c r="L950">
        <v>66</v>
      </c>
      <c r="M950">
        <v>5363</v>
      </c>
      <c r="N950" s="2">
        <v>8.6666311253451642E-5</v>
      </c>
    </row>
    <row r="951" spans="1:14" hidden="1" x14ac:dyDescent="0.25">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x14ac:dyDescent="0.25">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x14ac:dyDescent="0.25">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x14ac:dyDescent="0.25">
      <c r="A954" t="s">
        <v>77</v>
      </c>
      <c r="B954" t="s">
        <v>102</v>
      </c>
      <c r="C954">
        <v>8500</v>
      </c>
      <c r="D954">
        <v>8500</v>
      </c>
      <c r="E954">
        <v>8500</v>
      </c>
      <c r="F954">
        <v>8500</v>
      </c>
      <c r="G954">
        <v>8500</v>
      </c>
      <c r="H954">
        <v>4700</v>
      </c>
      <c r="I954">
        <v>5000</v>
      </c>
      <c r="J954">
        <v>5000</v>
      </c>
      <c r="K954">
        <v>4000</v>
      </c>
      <c r="L954">
        <v>5000</v>
      </c>
      <c r="M954">
        <v>23700</v>
      </c>
      <c r="N954" s="2">
        <v>1</v>
      </c>
    </row>
    <row r="955" spans="1:14" hidden="1" x14ac:dyDescent="0.25">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x14ac:dyDescent="0.25">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x14ac:dyDescent="0.25">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x14ac:dyDescent="0.25">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x14ac:dyDescent="0.25">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x14ac:dyDescent="0.25">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x14ac:dyDescent="0.25">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x14ac:dyDescent="0.25">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x14ac:dyDescent="0.25">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x14ac:dyDescent="0.25">
      <c r="A964" t="s">
        <v>29</v>
      </c>
      <c r="B964" t="s">
        <v>105</v>
      </c>
      <c r="D964">
        <v>0</v>
      </c>
      <c r="E964">
        <v>0</v>
      </c>
      <c r="F964">
        <v>580</v>
      </c>
      <c r="G964">
        <v>580</v>
      </c>
      <c r="H964">
        <v>802</v>
      </c>
      <c r="I964">
        <v>106773</v>
      </c>
      <c r="J964">
        <v>113803</v>
      </c>
      <c r="K964">
        <v>18159</v>
      </c>
      <c r="L964">
        <v>77116</v>
      </c>
      <c r="M964">
        <v>316653</v>
      </c>
      <c r="N964" s="2">
        <v>5.6274448230397303E-2</v>
      </c>
    </row>
    <row r="965" spans="1:14" hidden="1" x14ac:dyDescent="0.25">
      <c r="A965" t="s">
        <v>29</v>
      </c>
      <c r="B965" t="s">
        <v>175</v>
      </c>
      <c r="D965">
        <v>0</v>
      </c>
      <c r="E965">
        <v>0</v>
      </c>
      <c r="F965">
        <v>0</v>
      </c>
      <c r="G965">
        <v>0</v>
      </c>
      <c r="H965">
        <v>2216</v>
      </c>
      <c r="I965">
        <v>3456</v>
      </c>
      <c r="J965">
        <v>0</v>
      </c>
      <c r="K965">
        <v>0</v>
      </c>
      <c r="L965">
        <v>0</v>
      </c>
      <c r="M965">
        <v>5672</v>
      </c>
      <c r="N965" s="2">
        <v>1.0080077256896781E-3</v>
      </c>
    </row>
    <row r="966" spans="1:14" hidden="1" x14ac:dyDescent="0.25">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x14ac:dyDescent="0.25">
      <c r="A967" t="s">
        <v>29</v>
      </c>
      <c r="B967" t="s">
        <v>106</v>
      </c>
      <c r="C967">
        <v>912</v>
      </c>
      <c r="D967">
        <v>6188</v>
      </c>
      <c r="E967">
        <v>14279</v>
      </c>
      <c r="F967">
        <v>2864</v>
      </c>
      <c r="G967">
        <v>360</v>
      </c>
      <c r="H967">
        <v>0</v>
      </c>
      <c r="I967">
        <v>1840</v>
      </c>
      <c r="J967">
        <v>0</v>
      </c>
      <c r="K967">
        <v>0</v>
      </c>
      <c r="L967">
        <v>0</v>
      </c>
      <c r="M967">
        <v>1840</v>
      </c>
      <c r="N967" s="2">
        <v>3.2699827490638341E-4</v>
      </c>
    </row>
    <row r="968" spans="1:14" hidden="1" x14ac:dyDescent="0.25">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x14ac:dyDescent="0.25">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x14ac:dyDescent="0.25">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x14ac:dyDescent="0.25">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x14ac:dyDescent="0.25">
      <c r="A972" t="s">
        <v>29</v>
      </c>
      <c r="B972" t="s">
        <v>158</v>
      </c>
      <c r="C972">
        <v>7022</v>
      </c>
      <c r="D972">
        <v>6934</v>
      </c>
      <c r="E972">
        <v>6853</v>
      </c>
      <c r="F972">
        <v>6362</v>
      </c>
      <c r="G972">
        <v>5622</v>
      </c>
      <c r="H972">
        <v>1577</v>
      </c>
      <c r="I972">
        <v>174</v>
      </c>
      <c r="J972">
        <v>150</v>
      </c>
      <c r="K972">
        <v>300</v>
      </c>
      <c r="L972">
        <v>200</v>
      </c>
      <c r="M972">
        <v>2401</v>
      </c>
      <c r="N972" s="2">
        <v>4.2669720546207972E-4</v>
      </c>
    </row>
    <row r="973" spans="1:14" hidden="1" x14ac:dyDescent="0.25">
      <c r="A973" t="s">
        <v>28</v>
      </c>
      <c r="B973" t="s">
        <v>183</v>
      </c>
      <c r="C973">
        <v>264</v>
      </c>
      <c r="D973">
        <v>140</v>
      </c>
      <c r="E973">
        <v>85</v>
      </c>
      <c r="F973">
        <v>106</v>
      </c>
      <c r="G973">
        <v>102</v>
      </c>
      <c r="H973">
        <v>137</v>
      </c>
      <c r="I973">
        <v>286</v>
      </c>
      <c r="J973">
        <v>70</v>
      </c>
      <c r="K973">
        <v>58</v>
      </c>
      <c r="L973">
        <v>71</v>
      </c>
      <c r="M973">
        <v>622</v>
      </c>
      <c r="N973" s="4">
        <v>3.7512926731404008E-5</v>
      </c>
    </row>
    <row r="974" spans="1:14" hidden="1" x14ac:dyDescent="0.25">
      <c r="A974" t="s">
        <v>28</v>
      </c>
      <c r="B974" t="s">
        <v>184</v>
      </c>
      <c r="H974">
        <v>0</v>
      </c>
      <c r="I974">
        <v>0</v>
      </c>
      <c r="J974">
        <v>23</v>
      </c>
      <c r="K974">
        <v>59</v>
      </c>
      <c r="L974">
        <v>35</v>
      </c>
      <c r="M974">
        <v>117</v>
      </c>
      <c r="N974" s="4">
        <v>7.0562900764859628E-6</v>
      </c>
    </row>
    <row r="975" spans="1:14" hidden="1" x14ac:dyDescent="0.25">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hidden="1" x14ac:dyDescent="0.25">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hidden="1" x14ac:dyDescent="0.25">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hidden="1" x14ac:dyDescent="0.25">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hidden="1" x14ac:dyDescent="0.25">
      <c r="A979" t="s">
        <v>28</v>
      </c>
      <c r="B979" t="s">
        <v>185</v>
      </c>
      <c r="D979">
        <v>30</v>
      </c>
      <c r="E979">
        <v>30</v>
      </c>
      <c r="F979">
        <v>6</v>
      </c>
      <c r="G979">
        <v>7</v>
      </c>
      <c r="H979">
        <v>5</v>
      </c>
      <c r="I979">
        <v>5</v>
      </c>
      <c r="J979">
        <v>5</v>
      </c>
      <c r="K979">
        <v>5</v>
      </c>
      <c r="L979">
        <v>5</v>
      </c>
      <c r="M979">
        <v>25</v>
      </c>
      <c r="N979" s="4">
        <v>1.507754289847428E-6</v>
      </c>
    </row>
    <row r="980" spans="1:14" hidden="1" x14ac:dyDescent="0.25">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hidden="1" x14ac:dyDescent="0.25">
      <c r="A981" t="s">
        <v>28</v>
      </c>
      <c r="B981" t="s">
        <v>165</v>
      </c>
      <c r="C981">
        <v>1522</v>
      </c>
      <c r="D981">
        <v>1206</v>
      </c>
      <c r="E981">
        <v>958</v>
      </c>
      <c r="F981">
        <v>757</v>
      </c>
      <c r="G981">
        <v>833</v>
      </c>
      <c r="H981">
        <v>913</v>
      </c>
      <c r="I981">
        <v>1105</v>
      </c>
      <c r="J981">
        <v>942</v>
      </c>
      <c r="K981">
        <v>851</v>
      </c>
      <c r="L981">
        <v>650</v>
      </c>
      <c r="M981">
        <v>4461</v>
      </c>
      <c r="N981" s="4">
        <v>2.6904367548037498E-4</v>
      </c>
    </row>
    <row r="982" spans="1:14" hidden="1" x14ac:dyDescent="0.25">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hidden="1" x14ac:dyDescent="0.25">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hidden="1" x14ac:dyDescent="0.25">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hidden="1" x14ac:dyDescent="0.25">
      <c r="A985" t="s">
        <v>28</v>
      </c>
      <c r="B985" t="s">
        <v>187</v>
      </c>
      <c r="C985">
        <v>2147</v>
      </c>
      <c r="D985">
        <v>2823</v>
      </c>
      <c r="E985">
        <v>650</v>
      </c>
      <c r="F985">
        <v>549</v>
      </c>
      <c r="G985">
        <v>396</v>
      </c>
      <c r="H985">
        <v>1742</v>
      </c>
      <c r="I985">
        <v>1898</v>
      </c>
      <c r="J985">
        <v>1599</v>
      </c>
      <c r="K985">
        <v>863</v>
      </c>
      <c r="L985">
        <v>847</v>
      </c>
      <c r="M985">
        <v>6949</v>
      </c>
      <c r="N985" s="4">
        <v>4.1909538240599112E-4</v>
      </c>
    </row>
    <row r="986" spans="1:14" hidden="1" x14ac:dyDescent="0.25">
      <c r="A986" t="s">
        <v>28</v>
      </c>
      <c r="B986" t="s">
        <v>127</v>
      </c>
      <c r="C986">
        <v>1000</v>
      </c>
      <c r="D986">
        <v>1000</v>
      </c>
      <c r="E986">
        <v>1000</v>
      </c>
      <c r="F986">
        <v>795</v>
      </c>
      <c r="G986">
        <v>542</v>
      </c>
      <c r="H986">
        <v>713</v>
      </c>
      <c r="I986">
        <v>478</v>
      </c>
      <c r="J986">
        <v>341</v>
      </c>
      <c r="K986">
        <v>450</v>
      </c>
      <c r="L986">
        <v>450</v>
      </c>
      <c r="M986">
        <v>2432</v>
      </c>
      <c r="N986" s="4">
        <v>1.466743373163578E-4</v>
      </c>
    </row>
    <row r="987" spans="1:14" hidden="1" x14ac:dyDescent="0.25">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hidden="1" x14ac:dyDescent="0.25">
      <c r="A988" t="s">
        <v>28</v>
      </c>
      <c r="B988" t="s">
        <v>188</v>
      </c>
      <c r="D988">
        <v>55</v>
      </c>
      <c r="E988">
        <v>7</v>
      </c>
      <c r="F988">
        <v>15</v>
      </c>
      <c r="G988">
        <v>33</v>
      </c>
      <c r="H988">
        <v>118</v>
      </c>
      <c r="I988">
        <v>142</v>
      </c>
      <c r="J988">
        <v>359</v>
      </c>
      <c r="K988">
        <v>401</v>
      </c>
      <c r="L988">
        <v>858</v>
      </c>
      <c r="M988">
        <v>1878</v>
      </c>
      <c r="N988" s="4">
        <v>1.132625022533388E-4</v>
      </c>
    </row>
    <row r="989" spans="1:14" hidden="1" x14ac:dyDescent="0.25">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hidden="1" x14ac:dyDescent="0.25">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hidden="1" x14ac:dyDescent="0.25">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hidden="1" x14ac:dyDescent="0.25">
      <c r="A992" t="s">
        <v>28</v>
      </c>
      <c r="B992" t="s">
        <v>189</v>
      </c>
      <c r="C992">
        <v>150</v>
      </c>
      <c r="D992">
        <v>150</v>
      </c>
      <c r="E992">
        <v>150</v>
      </c>
      <c r="F992">
        <v>150</v>
      </c>
      <c r="G992">
        <v>150</v>
      </c>
      <c r="H992">
        <v>150</v>
      </c>
      <c r="I992">
        <v>150</v>
      </c>
      <c r="J992">
        <v>150</v>
      </c>
      <c r="K992">
        <v>150</v>
      </c>
      <c r="L992">
        <v>150</v>
      </c>
      <c r="M992">
        <v>750</v>
      </c>
      <c r="N992" s="4">
        <v>4.523262869542284E-5</v>
      </c>
    </row>
    <row r="993" spans="1:14" hidden="1" x14ac:dyDescent="0.25">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hidden="1" x14ac:dyDescent="0.25">
      <c r="A994" t="s">
        <v>28</v>
      </c>
      <c r="B994" t="s">
        <v>190</v>
      </c>
      <c r="C994">
        <v>0</v>
      </c>
      <c r="D994">
        <v>1500</v>
      </c>
      <c r="E994">
        <v>1350</v>
      </c>
      <c r="F994">
        <v>950</v>
      </c>
      <c r="G994">
        <v>750</v>
      </c>
      <c r="H994">
        <v>4255</v>
      </c>
      <c r="I994">
        <v>3699</v>
      </c>
      <c r="J994">
        <v>4500</v>
      </c>
      <c r="K994">
        <v>599</v>
      </c>
      <c r="L994">
        <v>600</v>
      </c>
      <c r="M994">
        <v>13653</v>
      </c>
      <c r="N994" s="4">
        <v>8.234147727714773E-4</v>
      </c>
    </row>
    <row r="995" spans="1:14" hidden="1" x14ac:dyDescent="0.25">
      <c r="A995" t="s">
        <v>28</v>
      </c>
      <c r="B995" t="s">
        <v>166</v>
      </c>
      <c r="D995">
        <v>0</v>
      </c>
      <c r="E995">
        <v>0</v>
      </c>
      <c r="F995">
        <v>0</v>
      </c>
      <c r="G995">
        <v>0</v>
      </c>
      <c r="H995">
        <v>48</v>
      </c>
      <c r="I995">
        <v>47</v>
      </c>
      <c r="J995">
        <v>33</v>
      </c>
      <c r="K995">
        <v>61</v>
      </c>
      <c r="L995">
        <v>0</v>
      </c>
      <c r="M995">
        <v>189</v>
      </c>
      <c r="N995" s="4">
        <v>1.139862243124656E-5</v>
      </c>
    </row>
    <row r="996" spans="1:14" hidden="1" x14ac:dyDescent="0.25">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hidden="1" x14ac:dyDescent="0.25">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hidden="1" x14ac:dyDescent="0.25">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hidden="1" x14ac:dyDescent="0.25">
      <c r="A999" t="s">
        <v>28</v>
      </c>
      <c r="B999" t="s">
        <v>191</v>
      </c>
      <c r="C999">
        <v>200</v>
      </c>
      <c r="D999">
        <v>200</v>
      </c>
      <c r="E999">
        <v>200</v>
      </c>
      <c r="F999">
        <v>200</v>
      </c>
      <c r="G999">
        <v>200</v>
      </c>
      <c r="H999">
        <v>200</v>
      </c>
      <c r="I999">
        <v>200</v>
      </c>
      <c r="J999">
        <v>200</v>
      </c>
      <c r="K999">
        <v>200</v>
      </c>
      <c r="L999">
        <v>200</v>
      </c>
      <c r="M999">
        <v>1000</v>
      </c>
      <c r="N999" s="4">
        <v>6.0310171593897122E-5</v>
      </c>
    </row>
    <row r="1000" spans="1:14" hidden="1" x14ac:dyDescent="0.25">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hidden="1" x14ac:dyDescent="0.25">
      <c r="A1001" t="s">
        <v>28</v>
      </c>
      <c r="B1001" t="s">
        <v>192</v>
      </c>
      <c r="E1001">
        <v>0</v>
      </c>
      <c r="F1001">
        <v>0</v>
      </c>
      <c r="G1001">
        <v>0</v>
      </c>
      <c r="H1001">
        <v>0</v>
      </c>
      <c r="I1001">
        <v>12</v>
      </c>
      <c r="J1001">
        <v>6</v>
      </c>
      <c r="K1001">
        <v>1</v>
      </c>
      <c r="L1001">
        <v>0</v>
      </c>
      <c r="M1001">
        <v>19</v>
      </c>
      <c r="N1001" s="4">
        <v>1.1458932602840449E-6</v>
      </c>
    </row>
    <row r="1002" spans="1:14" hidden="1" x14ac:dyDescent="0.25">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hidden="1" x14ac:dyDescent="0.25">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hidden="1" x14ac:dyDescent="0.25">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hidden="1" x14ac:dyDescent="0.25">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hidden="1" x14ac:dyDescent="0.25">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hidden="1" x14ac:dyDescent="0.25">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hidden="1" x14ac:dyDescent="0.25">
      <c r="A1008" t="s">
        <v>28</v>
      </c>
      <c r="B1008" t="s">
        <v>117</v>
      </c>
      <c r="F1008">
        <v>0</v>
      </c>
      <c r="G1008">
        <v>0</v>
      </c>
      <c r="H1008">
        <v>0</v>
      </c>
      <c r="I1008">
        <v>0</v>
      </c>
      <c r="J1008">
        <v>10</v>
      </c>
      <c r="K1008">
        <v>10</v>
      </c>
      <c r="L1008">
        <v>12</v>
      </c>
      <c r="M1008">
        <v>32</v>
      </c>
      <c r="N1008" s="4">
        <v>1.929925491004708E-6</v>
      </c>
    </row>
    <row r="1009" spans="1:14" hidden="1" x14ac:dyDescent="0.25">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hidden="1" x14ac:dyDescent="0.25">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hidden="1" x14ac:dyDescent="0.25">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hidden="1" x14ac:dyDescent="0.25">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hidden="1" x14ac:dyDescent="0.25">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hidden="1" x14ac:dyDescent="0.25">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hidden="1" x14ac:dyDescent="0.25">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hidden="1" x14ac:dyDescent="0.25">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hidden="1" x14ac:dyDescent="0.25">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hidden="1" x14ac:dyDescent="0.25">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hidden="1" x14ac:dyDescent="0.25">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hidden="1" x14ac:dyDescent="0.25">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hidden="1" x14ac:dyDescent="0.25">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hidden="1" x14ac:dyDescent="0.25">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hidden="1" x14ac:dyDescent="0.25">
      <c r="A1023" t="s">
        <v>28</v>
      </c>
      <c r="B1023" t="s">
        <v>149</v>
      </c>
      <c r="E1023">
        <v>10000</v>
      </c>
      <c r="F1023">
        <v>10000</v>
      </c>
      <c r="G1023">
        <v>10000</v>
      </c>
      <c r="H1023">
        <v>10000</v>
      </c>
      <c r="I1023">
        <v>10000</v>
      </c>
      <c r="J1023">
        <v>10000</v>
      </c>
      <c r="K1023">
        <v>10000</v>
      </c>
      <c r="L1023">
        <v>10000</v>
      </c>
      <c r="M1023">
        <v>50000</v>
      </c>
      <c r="N1023" s="4">
        <v>3.015508579694856E-3</v>
      </c>
    </row>
    <row r="1024" spans="1:14" hidden="1" x14ac:dyDescent="0.25">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hidden="1" x14ac:dyDescent="0.25">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hidden="1" x14ac:dyDescent="0.25">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hidden="1" x14ac:dyDescent="0.25">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hidden="1" x14ac:dyDescent="0.25">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hidden="1" x14ac:dyDescent="0.25">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hidden="1" x14ac:dyDescent="0.25">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hidden="1" x14ac:dyDescent="0.25">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hidden="1" x14ac:dyDescent="0.25">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hidden="1" x14ac:dyDescent="0.25">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hidden="1" x14ac:dyDescent="0.25">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hidden="1" x14ac:dyDescent="0.25">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hidden="1" x14ac:dyDescent="0.25">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hidden="1" x14ac:dyDescent="0.25">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hidden="1" x14ac:dyDescent="0.25">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hidden="1" x14ac:dyDescent="0.25">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hidden="1" x14ac:dyDescent="0.25">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hidden="1" x14ac:dyDescent="0.25">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hidden="1" x14ac:dyDescent="0.25">
      <c r="A1042" t="s">
        <v>28</v>
      </c>
      <c r="B1042" t="s">
        <v>133</v>
      </c>
      <c r="H1042">
        <v>3</v>
      </c>
      <c r="I1042">
        <v>0</v>
      </c>
      <c r="J1042">
        <v>0</v>
      </c>
      <c r="K1042">
        <v>0</v>
      </c>
      <c r="L1042">
        <v>0</v>
      </c>
      <c r="M1042">
        <v>3</v>
      </c>
      <c r="N1042" s="4">
        <v>1.809305147816913E-7</v>
      </c>
    </row>
    <row r="1043" spans="1:14" hidden="1" x14ac:dyDescent="0.25">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hidden="1" x14ac:dyDescent="0.25">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hidden="1" x14ac:dyDescent="0.25">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hidden="1" x14ac:dyDescent="0.25">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hidden="1" x14ac:dyDescent="0.25">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hidden="1" x14ac:dyDescent="0.25">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hidden="1" x14ac:dyDescent="0.25">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hidden="1" x14ac:dyDescent="0.25">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hidden="1" x14ac:dyDescent="0.25">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hidden="1" x14ac:dyDescent="0.25">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hidden="1" x14ac:dyDescent="0.25">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hidden="1" x14ac:dyDescent="0.25">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hidden="1" x14ac:dyDescent="0.25">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hidden="1" x14ac:dyDescent="0.25">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hidden="1" x14ac:dyDescent="0.25">
      <c r="A1057" t="s">
        <v>28</v>
      </c>
      <c r="B1057" t="s">
        <v>206</v>
      </c>
      <c r="D1057">
        <v>200</v>
      </c>
      <c r="E1057">
        <v>200</v>
      </c>
      <c r="F1057">
        <v>200</v>
      </c>
      <c r="G1057">
        <v>200</v>
      </c>
      <c r="H1057">
        <v>200</v>
      </c>
      <c r="I1057">
        <v>200</v>
      </c>
      <c r="J1057">
        <v>200</v>
      </c>
      <c r="K1057">
        <v>200</v>
      </c>
      <c r="L1057">
        <v>200</v>
      </c>
      <c r="M1057">
        <v>1000</v>
      </c>
      <c r="N1057" s="4">
        <v>6.0310171593897122E-5</v>
      </c>
    </row>
    <row r="1058" spans="1:14" hidden="1" x14ac:dyDescent="0.25">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hidden="1" x14ac:dyDescent="0.25">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hidden="1" x14ac:dyDescent="0.25">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hidden="1" x14ac:dyDescent="0.25">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hidden="1" x14ac:dyDescent="0.25">
      <c r="A1062" t="s">
        <v>28</v>
      </c>
      <c r="B1062" t="s">
        <v>208</v>
      </c>
      <c r="D1062">
        <v>4</v>
      </c>
      <c r="E1062">
        <v>5</v>
      </c>
      <c r="F1062">
        <v>2</v>
      </c>
      <c r="G1062">
        <v>0</v>
      </c>
      <c r="H1062">
        <v>4</v>
      </c>
      <c r="I1062">
        <v>4</v>
      </c>
      <c r="J1062">
        <v>6</v>
      </c>
      <c r="K1062">
        <v>3</v>
      </c>
      <c r="L1062">
        <v>1</v>
      </c>
      <c r="M1062">
        <v>18</v>
      </c>
      <c r="N1062" s="4">
        <v>1.0855830886901479E-6</v>
      </c>
    </row>
    <row r="1063" spans="1:14" hidden="1" x14ac:dyDescent="0.25">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hidden="1" x14ac:dyDescent="0.25">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hidden="1" x14ac:dyDescent="0.25">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hidden="1" x14ac:dyDescent="0.25">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hidden="1" x14ac:dyDescent="0.25">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hidden="1" x14ac:dyDescent="0.25">
      <c r="A1068" t="s">
        <v>28</v>
      </c>
      <c r="B1068" t="s">
        <v>142</v>
      </c>
      <c r="D1068">
        <v>5</v>
      </c>
      <c r="E1068">
        <v>24</v>
      </c>
      <c r="F1068">
        <v>13</v>
      </c>
      <c r="G1068">
        <v>11</v>
      </c>
      <c r="H1068">
        <v>4</v>
      </c>
      <c r="I1068">
        <v>12</v>
      </c>
      <c r="J1068">
        <v>10</v>
      </c>
      <c r="K1068">
        <v>7</v>
      </c>
      <c r="L1068">
        <v>7</v>
      </c>
      <c r="M1068">
        <v>40</v>
      </c>
      <c r="N1068" s="4">
        <v>2.412406863755885E-6</v>
      </c>
    </row>
    <row r="1069" spans="1:14" hidden="1" x14ac:dyDescent="0.25">
      <c r="A1069" t="s">
        <v>28</v>
      </c>
      <c r="B1069" t="s">
        <v>140</v>
      </c>
      <c r="C1069">
        <v>102</v>
      </c>
      <c r="D1069">
        <v>42</v>
      </c>
      <c r="E1069">
        <v>0</v>
      </c>
      <c r="F1069">
        <v>0</v>
      </c>
      <c r="G1069">
        <v>6</v>
      </c>
      <c r="H1069">
        <v>0</v>
      </c>
      <c r="I1069">
        <v>0</v>
      </c>
      <c r="J1069">
        <v>50</v>
      </c>
      <c r="K1069">
        <v>28</v>
      </c>
      <c r="L1069">
        <v>79</v>
      </c>
      <c r="M1069">
        <v>157</v>
      </c>
      <c r="N1069" s="4">
        <v>9.4686969402418474E-6</v>
      </c>
    </row>
    <row r="1070" spans="1:14" hidden="1" x14ac:dyDescent="0.25">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hidden="1" x14ac:dyDescent="0.25">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hidden="1" x14ac:dyDescent="0.25">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hidden="1" x14ac:dyDescent="0.25">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hidden="1" x14ac:dyDescent="0.25">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hidden="1" x14ac:dyDescent="0.25">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x14ac:dyDescent="0.25">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x14ac:dyDescent="0.25">
      <c r="A1077" t="s">
        <v>27</v>
      </c>
      <c r="B1077" t="s">
        <v>107</v>
      </c>
      <c r="C1077">
        <v>5</v>
      </c>
      <c r="D1077">
        <v>5</v>
      </c>
      <c r="E1077">
        <v>5</v>
      </c>
      <c r="F1077">
        <v>5</v>
      </c>
      <c r="G1077">
        <v>6</v>
      </c>
      <c r="H1077">
        <v>6</v>
      </c>
      <c r="I1077">
        <v>6</v>
      </c>
      <c r="J1077">
        <v>5</v>
      </c>
      <c r="K1077">
        <v>5</v>
      </c>
      <c r="L1077">
        <v>5</v>
      </c>
      <c r="M1077">
        <v>27</v>
      </c>
      <c r="N1077" s="2">
        <v>5.4878048780487812E-2</v>
      </c>
    </row>
    <row r="1078" spans="1:14" hidden="1" x14ac:dyDescent="0.25">
      <c r="A1078" t="s">
        <v>27</v>
      </c>
      <c r="B1078" t="s">
        <v>113</v>
      </c>
      <c r="C1078">
        <v>3</v>
      </c>
      <c r="D1078">
        <v>3</v>
      </c>
      <c r="E1078">
        <v>3</v>
      </c>
      <c r="F1078">
        <v>3</v>
      </c>
      <c r="G1078">
        <v>2</v>
      </c>
      <c r="H1078">
        <v>3</v>
      </c>
      <c r="I1078">
        <v>3</v>
      </c>
      <c r="J1078">
        <v>3</v>
      </c>
      <c r="K1078">
        <v>3</v>
      </c>
      <c r="L1078">
        <v>3</v>
      </c>
      <c r="M1078">
        <v>15</v>
      </c>
      <c r="N1078" s="2">
        <v>3.048780487804878E-2</v>
      </c>
    </row>
    <row r="1079" spans="1:14" hidden="1" x14ac:dyDescent="0.25">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x14ac:dyDescent="0.25">
      <c r="A1080" t="s">
        <v>26</v>
      </c>
      <c r="B1080" t="s">
        <v>119</v>
      </c>
      <c r="C1080">
        <v>8</v>
      </c>
      <c r="D1080">
        <v>8</v>
      </c>
      <c r="E1080">
        <v>8</v>
      </c>
      <c r="F1080">
        <v>6</v>
      </c>
      <c r="G1080">
        <v>3</v>
      </c>
      <c r="H1080">
        <v>3</v>
      </c>
      <c r="I1080">
        <v>3</v>
      </c>
      <c r="J1080">
        <v>3</v>
      </c>
      <c r="K1080">
        <v>3</v>
      </c>
      <c r="L1080">
        <v>3</v>
      </c>
      <c r="M1080">
        <v>15</v>
      </c>
      <c r="N1080" s="2">
        <v>7.9072219293621505E-3</v>
      </c>
    </row>
    <row r="1081" spans="1:14" hidden="1" x14ac:dyDescent="0.25">
      <c r="A1081" t="s">
        <v>26</v>
      </c>
      <c r="B1081" t="s">
        <v>148</v>
      </c>
      <c r="C1081">
        <v>7</v>
      </c>
      <c r="D1081">
        <v>2</v>
      </c>
      <c r="E1081">
        <v>1</v>
      </c>
      <c r="F1081">
        <v>3</v>
      </c>
      <c r="G1081">
        <v>3</v>
      </c>
      <c r="H1081">
        <v>3</v>
      </c>
      <c r="I1081">
        <v>3</v>
      </c>
      <c r="J1081">
        <v>3</v>
      </c>
      <c r="K1081">
        <v>2</v>
      </c>
      <c r="L1081">
        <v>2</v>
      </c>
      <c r="M1081">
        <v>13</v>
      </c>
      <c r="N1081" s="2">
        <v>6.8529256721138639E-3</v>
      </c>
    </row>
    <row r="1082" spans="1:14" hidden="1" x14ac:dyDescent="0.25">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x14ac:dyDescent="0.25">
      <c r="A1083" t="s">
        <v>26</v>
      </c>
      <c r="B1083" t="s">
        <v>122</v>
      </c>
      <c r="D1083">
        <v>13</v>
      </c>
      <c r="E1083">
        <v>13</v>
      </c>
      <c r="F1083">
        <v>9</v>
      </c>
      <c r="G1083">
        <v>9</v>
      </c>
      <c r="H1083">
        <v>4</v>
      </c>
      <c r="I1083">
        <v>4</v>
      </c>
      <c r="J1083">
        <v>8</v>
      </c>
      <c r="K1083">
        <v>4</v>
      </c>
      <c r="L1083">
        <v>4</v>
      </c>
      <c r="M1083">
        <v>24</v>
      </c>
      <c r="N1083" s="2">
        <v>1.2651555086979439E-2</v>
      </c>
    </row>
    <row r="1084" spans="1:14" hidden="1" x14ac:dyDescent="0.25">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x14ac:dyDescent="0.25">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x14ac:dyDescent="0.25">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x14ac:dyDescent="0.25">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x14ac:dyDescent="0.25">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x14ac:dyDescent="0.25">
      <c r="A1089" t="s">
        <v>48</v>
      </c>
      <c r="B1089" t="s">
        <v>97</v>
      </c>
      <c r="C1089">
        <v>630</v>
      </c>
      <c r="D1089">
        <v>821</v>
      </c>
      <c r="E1089">
        <v>545</v>
      </c>
      <c r="F1089">
        <v>198</v>
      </c>
      <c r="G1089">
        <v>291</v>
      </c>
      <c r="H1089">
        <v>281</v>
      </c>
      <c r="I1089">
        <v>118</v>
      </c>
      <c r="J1089">
        <v>121</v>
      </c>
      <c r="K1089">
        <v>249</v>
      </c>
      <c r="L1089">
        <v>210</v>
      </c>
      <c r="M1089">
        <v>979</v>
      </c>
      <c r="N1089" s="2">
        <v>1</v>
      </c>
    </row>
    <row r="1090" spans="1:14" hidden="1" x14ac:dyDescent="0.25">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x14ac:dyDescent="0.25">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x14ac:dyDescent="0.25">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x14ac:dyDescent="0.25">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x14ac:dyDescent="0.25">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x14ac:dyDescent="0.25">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x14ac:dyDescent="0.25">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x14ac:dyDescent="0.25">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x14ac:dyDescent="0.25">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x14ac:dyDescent="0.25">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x14ac:dyDescent="0.25">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x14ac:dyDescent="0.25">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x14ac:dyDescent="0.25">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x14ac:dyDescent="0.25">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x14ac:dyDescent="0.25">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x14ac:dyDescent="0.25">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x14ac:dyDescent="0.25">
      <c r="A1106" t="s">
        <v>36</v>
      </c>
      <c r="B1106" t="s">
        <v>112</v>
      </c>
      <c r="C1106">
        <v>2000</v>
      </c>
      <c r="D1106">
        <v>2000</v>
      </c>
      <c r="E1106">
        <v>2000</v>
      </c>
      <c r="H1106">
        <v>7500</v>
      </c>
      <c r="I1106">
        <v>7500</v>
      </c>
      <c r="J1106">
        <v>7500</v>
      </c>
      <c r="K1106">
        <v>5000</v>
      </c>
      <c r="L1106">
        <v>5800</v>
      </c>
      <c r="M1106">
        <v>33300</v>
      </c>
      <c r="N1106" s="2">
        <v>3.0935083980392171E-3</v>
      </c>
    </row>
    <row r="1107" spans="1:14" hidden="1" x14ac:dyDescent="0.25">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x14ac:dyDescent="0.25">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x14ac:dyDescent="0.25">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x14ac:dyDescent="0.25">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x14ac:dyDescent="0.25">
      <c r="A1111" t="s">
        <v>35</v>
      </c>
      <c r="B1111" t="s">
        <v>195</v>
      </c>
      <c r="H1111">
        <v>21300</v>
      </c>
      <c r="I1111">
        <v>42900</v>
      </c>
      <c r="J1111">
        <v>43000</v>
      </c>
      <c r="K1111">
        <v>37000</v>
      </c>
      <c r="L1111">
        <v>22000</v>
      </c>
      <c r="M1111">
        <v>166200</v>
      </c>
      <c r="N1111" s="2">
        <v>1.247717491535303E-2</v>
      </c>
    </row>
    <row r="1112" spans="1:14" hidden="1" x14ac:dyDescent="0.25">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x14ac:dyDescent="0.25">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x14ac:dyDescent="0.25">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x14ac:dyDescent="0.25">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x14ac:dyDescent="0.25">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x14ac:dyDescent="0.25">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x14ac:dyDescent="0.25">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x14ac:dyDescent="0.25">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x14ac:dyDescent="0.25">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x14ac:dyDescent="0.25">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x14ac:dyDescent="0.25">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x14ac:dyDescent="0.25">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x14ac:dyDescent="0.25">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x14ac:dyDescent="0.25">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x14ac:dyDescent="0.25">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x14ac:dyDescent="0.25">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x14ac:dyDescent="0.25">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x14ac:dyDescent="0.25">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x14ac:dyDescent="0.25">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x14ac:dyDescent="0.25">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x14ac:dyDescent="0.25">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x14ac:dyDescent="0.25">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x14ac:dyDescent="0.25">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x14ac:dyDescent="0.25">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x14ac:dyDescent="0.25">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x14ac:dyDescent="0.25">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x14ac:dyDescent="0.25">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x14ac:dyDescent="0.25">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x14ac:dyDescent="0.25">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x14ac:dyDescent="0.25">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x14ac:dyDescent="0.25">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x14ac:dyDescent="0.25">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x14ac:dyDescent="0.25">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x14ac:dyDescent="0.25">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x14ac:dyDescent="0.25">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x14ac:dyDescent="0.25">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x14ac:dyDescent="0.25">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x14ac:dyDescent="0.25">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x14ac:dyDescent="0.25">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x14ac:dyDescent="0.25">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x14ac:dyDescent="0.25">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x14ac:dyDescent="0.25">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x14ac:dyDescent="0.25">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x14ac:dyDescent="0.25">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x14ac:dyDescent="0.25">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x14ac:dyDescent="0.25">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x14ac:dyDescent="0.25">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x14ac:dyDescent="0.25">
      <c r="A1159" t="s">
        <v>43</v>
      </c>
      <c r="B1159" t="s">
        <v>151</v>
      </c>
      <c r="C1159">
        <v>800</v>
      </c>
      <c r="D1159">
        <v>820</v>
      </c>
      <c r="E1159">
        <v>549</v>
      </c>
      <c r="F1159">
        <v>0</v>
      </c>
      <c r="G1159">
        <v>0</v>
      </c>
      <c r="H1159">
        <v>66</v>
      </c>
      <c r="I1159">
        <v>0</v>
      </c>
      <c r="J1159">
        <v>0</v>
      </c>
      <c r="K1159">
        <v>0</v>
      </c>
      <c r="L1159">
        <v>0</v>
      </c>
      <c r="M1159">
        <v>66</v>
      </c>
      <c r="N1159" s="2">
        <v>6.101343876455552E-6</v>
      </c>
    </row>
    <row r="1160" spans="1:14" hidden="1" x14ac:dyDescent="0.25">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x14ac:dyDescent="0.25">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x14ac:dyDescent="0.25">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x14ac:dyDescent="0.25">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x14ac:dyDescent="0.25">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x14ac:dyDescent="0.25">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x14ac:dyDescent="0.25">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x14ac:dyDescent="0.25">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x14ac:dyDescent="0.25">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x14ac:dyDescent="0.25">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x14ac:dyDescent="0.25">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x14ac:dyDescent="0.25">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x14ac:dyDescent="0.25">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x14ac:dyDescent="0.25">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x14ac:dyDescent="0.25">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x14ac:dyDescent="0.25">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x14ac:dyDescent="0.25">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x14ac:dyDescent="0.25">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x14ac:dyDescent="0.25">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x14ac:dyDescent="0.25">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x14ac:dyDescent="0.25">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x14ac:dyDescent="0.25">
      <c r="A1181" t="s">
        <v>42</v>
      </c>
      <c r="B1181" t="s">
        <v>137</v>
      </c>
      <c r="F1181">
        <v>4467526</v>
      </c>
      <c r="G1181">
        <v>4022966</v>
      </c>
      <c r="H1181">
        <v>4058305</v>
      </c>
      <c r="I1181">
        <v>4081452</v>
      </c>
      <c r="J1181">
        <v>3806766</v>
      </c>
      <c r="K1181">
        <v>2984105</v>
      </c>
      <c r="L1181">
        <v>3478867</v>
      </c>
      <c r="M1181">
        <v>18409495</v>
      </c>
      <c r="N1181" s="2">
        <v>9.617270709827333E-2</v>
      </c>
    </row>
    <row r="1182" spans="1:14" hidden="1" x14ac:dyDescent="0.25">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x14ac:dyDescent="0.25">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x14ac:dyDescent="0.25">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x14ac:dyDescent="0.25">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x14ac:dyDescent="0.25">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x14ac:dyDescent="0.25">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x14ac:dyDescent="0.25">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x14ac:dyDescent="0.25">
      <c r="A1189" t="s">
        <v>24</v>
      </c>
      <c r="B1189" t="s">
        <v>159</v>
      </c>
      <c r="F1189">
        <v>0</v>
      </c>
      <c r="G1189">
        <v>0</v>
      </c>
      <c r="H1189">
        <v>0</v>
      </c>
      <c r="I1189">
        <v>0</v>
      </c>
      <c r="J1189">
        <v>2000</v>
      </c>
      <c r="K1189">
        <v>107800</v>
      </c>
      <c r="L1189">
        <v>170000</v>
      </c>
      <c r="M1189">
        <v>279800</v>
      </c>
      <c r="N1189" s="2">
        <v>3.2801138187772052E-3</v>
      </c>
    </row>
    <row r="1190" spans="1:14" hidden="1" x14ac:dyDescent="0.25">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x14ac:dyDescent="0.25">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x14ac:dyDescent="0.25">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x14ac:dyDescent="0.25">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x14ac:dyDescent="0.25">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x14ac:dyDescent="0.25">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x14ac:dyDescent="0.25">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x14ac:dyDescent="0.25">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x14ac:dyDescent="0.25">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x14ac:dyDescent="0.25">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x14ac:dyDescent="0.25">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x14ac:dyDescent="0.25">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x14ac:dyDescent="0.25">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x14ac:dyDescent="0.25">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x14ac:dyDescent="0.25">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x14ac:dyDescent="0.25">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x14ac:dyDescent="0.25">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x14ac:dyDescent="0.25">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x14ac:dyDescent="0.25">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x14ac:dyDescent="0.25">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x14ac:dyDescent="0.25">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x14ac:dyDescent="0.25">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x14ac:dyDescent="0.25">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x14ac:dyDescent="0.25">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x14ac:dyDescent="0.25">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x14ac:dyDescent="0.25">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x14ac:dyDescent="0.25">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x14ac:dyDescent="0.25">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x14ac:dyDescent="0.25">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x14ac:dyDescent="0.25">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x14ac:dyDescent="0.25">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x14ac:dyDescent="0.25">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x14ac:dyDescent="0.25">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x14ac:dyDescent="0.25">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x14ac:dyDescent="0.25">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x14ac:dyDescent="0.25">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x14ac:dyDescent="0.25">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x14ac:dyDescent="0.25">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x14ac:dyDescent="0.25">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x14ac:dyDescent="0.25">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x14ac:dyDescent="0.25">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x14ac:dyDescent="0.25">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x14ac:dyDescent="0.25">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x14ac:dyDescent="0.25">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x14ac:dyDescent="0.25">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x14ac:dyDescent="0.25">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x14ac:dyDescent="0.25">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x14ac:dyDescent="0.25">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x14ac:dyDescent="0.25">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x14ac:dyDescent="0.25">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x14ac:dyDescent="0.25">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x14ac:dyDescent="0.25">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x14ac:dyDescent="0.25">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x14ac:dyDescent="0.25">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x14ac:dyDescent="0.25">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x14ac:dyDescent="0.25">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x14ac:dyDescent="0.25">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x14ac:dyDescent="0.25">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x14ac:dyDescent="0.25">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x14ac:dyDescent="0.25">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x14ac:dyDescent="0.25">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x14ac:dyDescent="0.25">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x14ac:dyDescent="0.25">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x14ac:dyDescent="0.25">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x14ac:dyDescent="0.25">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x14ac:dyDescent="0.25">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x14ac:dyDescent="0.25">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x14ac:dyDescent="0.25">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x14ac:dyDescent="0.25">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x14ac:dyDescent="0.25">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x14ac:dyDescent="0.25">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x14ac:dyDescent="0.25">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x14ac:dyDescent="0.25">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x14ac:dyDescent="0.25">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x14ac:dyDescent="0.25">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x14ac:dyDescent="0.25">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x14ac:dyDescent="0.25">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x14ac:dyDescent="0.25">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x14ac:dyDescent="0.25">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x14ac:dyDescent="0.25">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x14ac:dyDescent="0.25">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x14ac:dyDescent="0.25">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x14ac:dyDescent="0.25">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x14ac:dyDescent="0.25">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x14ac:dyDescent="0.25">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x14ac:dyDescent="0.25">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x14ac:dyDescent="0.25">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x14ac:dyDescent="0.25">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x14ac:dyDescent="0.25">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x14ac:dyDescent="0.25">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x14ac:dyDescent="0.25">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x14ac:dyDescent="0.25">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x14ac:dyDescent="0.25">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x14ac:dyDescent="0.25">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x14ac:dyDescent="0.25">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x14ac:dyDescent="0.25">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x14ac:dyDescent="0.25">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x14ac:dyDescent="0.25">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x14ac:dyDescent="0.25">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x14ac:dyDescent="0.25">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x14ac:dyDescent="0.25">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x14ac:dyDescent="0.25">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x14ac:dyDescent="0.25">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x14ac:dyDescent="0.25">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x14ac:dyDescent="0.25">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x14ac:dyDescent="0.25">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x14ac:dyDescent="0.25">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x14ac:dyDescent="0.25">
      <c r="A1297" t="s">
        <v>23</v>
      </c>
      <c r="B1297" t="s">
        <v>177</v>
      </c>
      <c r="F1297">
        <v>0</v>
      </c>
      <c r="G1297">
        <v>0</v>
      </c>
      <c r="H1297">
        <v>0</v>
      </c>
      <c r="I1297">
        <v>0</v>
      </c>
      <c r="J1297">
        <v>147480</v>
      </c>
      <c r="K1297">
        <v>205548</v>
      </c>
      <c r="L1297">
        <v>331000</v>
      </c>
      <c r="M1297">
        <v>684028</v>
      </c>
      <c r="N1297" s="2">
        <v>6.5726960148271649E-3</v>
      </c>
    </row>
    <row r="1298" spans="1:14" hidden="1" x14ac:dyDescent="0.25">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x14ac:dyDescent="0.25">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x14ac:dyDescent="0.25">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x14ac:dyDescent="0.25">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x14ac:dyDescent="0.25">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x14ac:dyDescent="0.25">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x14ac:dyDescent="0.25">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x14ac:dyDescent="0.25">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x14ac:dyDescent="0.25">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x14ac:dyDescent="0.25">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x14ac:dyDescent="0.25">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x14ac:dyDescent="0.25">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x14ac:dyDescent="0.25">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x14ac:dyDescent="0.25">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x14ac:dyDescent="0.25">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x14ac:dyDescent="0.25">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x14ac:dyDescent="0.25">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x14ac:dyDescent="0.25">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x14ac:dyDescent="0.25">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x14ac:dyDescent="0.25">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x14ac:dyDescent="0.25">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x14ac:dyDescent="0.25">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x14ac:dyDescent="0.25">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x14ac:dyDescent="0.25">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x14ac:dyDescent="0.25">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x14ac:dyDescent="0.25">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x14ac:dyDescent="0.25">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x14ac:dyDescent="0.25">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x14ac:dyDescent="0.25">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x14ac:dyDescent="0.25">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x14ac:dyDescent="0.25">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x14ac:dyDescent="0.25">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x14ac:dyDescent="0.25">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x14ac:dyDescent="0.25">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x14ac:dyDescent="0.25">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x14ac:dyDescent="0.25">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x14ac:dyDescent="0.25">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x14ac:dyDescent="0.25">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x14ac:dyDescent="0.25">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x14ac:dyDescent="0.25">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x14ac:dyDescent="0.25">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x14ac:dyDescent="0.25">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x14ac:dyDescent="0.25">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x14ac:dyDescent="0.25">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x14ac:dyDescent="0.25">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x14ac:dyDescent="0.25">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x14ac:dyDescent="0.25">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x14ac:dyDescent="0.25">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x14ac:dyDescent="0.25">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x14ac:dyDescent="0.25">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x14ac:dyDescent="0.25">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x14ac:dyDescent="0.25">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x14ac:dyDescent="0.25">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x14ac:dyDescent="0.25">
      <c r="A1351" t="s">
        <v>21</v>
      </c>
      <c r="B1351" t="s">
        <v>112</v>
      </c>
      <c r="H1351">
        <v>220</v>
      </c>
      <c r="I1351">
        <v>259</v>
      </c>
      <c r="J1351">
        <v>115</v>
      </c>
      <c r="K1351">
        <v>250</v>
      </c>
      <c r="L1351">
        <v>200</v>
      </c>
      <c r="M1351">
        <v>1044</v>
      </c>
      <c r="N1351" s="2">
        <v>1.570831878859372E-3</v>
      </c>
    </row>
    <row r="1352" spans="1:14" hidden="1" x14ac:dyDescent="0.25">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x14ac:dyDescent="0.25">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x14ac:dyDescent="0.25">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x14ac:dyDescent="0.25">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x14ac:dyDescent="0.25">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x14ac:dyDescent="0.25">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x14ac:dyDescent="0.25">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x14ac:dyDescent="0.25">
      <c r="A1359" t="s">
        <v>20</v>
      </c>
      <c r="B1359" t="s">
        <v>87</v>
      </c>
      <c r="C1359">
        <v>17</v>
      </c>
      <c r="D1359">
        <v>187</v>
      </c>
      <c r="E1359">
        <v>128</v>
      </c>
      <c r="F1359">
        <v>30</v>
      </c>
      <c r="H1359">
        <v>0</v>
      </c>
      <c r="I1359">
        <v>0</v>
      </c>
      <c r="J1359">
        <v>60</v>
      </c>
      <c r="K1359">
        <v>0</v>
      </c>
      <c r="L1359">
        <v>0</v>
      </c>
      <c r="M1359">
        <v>60</v>
      </c>
      <c r="N1359" s="2">
        <v>3.4444498503171261E-7</v>
      </c>
    </row>
    <row r="1360" spans="1:14" hidden="1" x14ac:dyDescent="0.25">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x14ac:dyDescent="0.25">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x14ac:dyDescent="0.25">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x14ac:dyDescent="0.25">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x14ac:dyDescent="0.25">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x14ac:dyDescent="0.25">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x14ac:dyDescent="0.25">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x14ac:dyDescent="0.25">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x14ac:dyDescent="0.25">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x14ac:dyDescent="0.25">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x14ac:dyDescent="0.25">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x14ac:dyDescent="0.25">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x14ac:dyDescent="0.25">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x14ac:dyDescent="0.25">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x14ac:dyDescent="0.25">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x14ac:dyDescent="0.25">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x14ac:dyDescent="0.25">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x14ac:dyDescent="0.25">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x14ac:dyDescent="0.25">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x14ac:dyDescent="0.25">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x14ac:dyDescent="0.25">
      <c r="A1380" t="s">
        <v>19</v>
      </c>
      <c r="B1380" t="s">
        <v>97</v>
      </c>
      <c r="C1380">
        <v>391</v>
      </c>
      <c r="D1380">
        <v>228</v>
      </c>
      <c r="E1380">
        <v>69</v>
      </c>
      <c r="F1380">
        <v>0</v>
      </c>
      <c r="G1380">
        <v>35</v>
      </c>
      <c r="H1380">
        <v>47</v>
      </c>
      <c r="I1380">
        <v>0</v>
      </c>
      <c r="J1380">
        <v>0</v>
      </c>
      <c r="K1380">
        <v>0</v>
      </c>
      <c r="L1380">
        <v>0</v>
      </c>
      <c r="M1380">
        <v>47</v>
      </c>
      <c r="N1380" s="2">
        <v>3.6504287312041748E-4</v>
      </c>
    </row>
    <row r="1381" spans="1:14" hidden="1" x14ac:dyDescent="0.25">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x14ac:dyDescent="0.25">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x14ac:dyDescent="0.25">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x14ac:dyDescent="0.25">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x14ac:dyDescent="0.25">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x14ac:dyDescent="0.25">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x14ac:dyDescent="0.25">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x14ac:dyDescent="0.25">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x14ac:dyDescent="0.25">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x14ac:dyDescent="0.25">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x14ac:dyDescent="0.25">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x14ac:dyDescent="0.25">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x14ac:dyDescent="0.25">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x14ac:dyDescent="0.25">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x14ac:dyDescent="0.25">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x14ac:dyDescent="0.25">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x14ac:dyDescent="0.25">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x14ac:dyDescent="0.25">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x14ac:dyDescent="0.25">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x14ac:dyDescent="0.25">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x14ac:dyDescent="0.25">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x14ac:dyDescent="0.25">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x14ac:dyDescent="0.25">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x14ac:dyDescent="0.25">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x14ac:dyDescent="0.25">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x14ac:dyDescent="0.25">
      <c r="A1406" t="s">
        <v>17</v>
      </c>
      <c r="B1406" t="s">
        <v>142</v>
      </c>
      <c r="G1406">
        <v>14</v>
      </c>
      <c r="H1406">
        <v>0</v>
      </c>
      <c r="I1406">
        <v>24</v>
      </c>
      <c r="J1406">
        <v>15</v>
      </c>
      <c r="K1406">
        <v>186</v>
      </c>
      <c r="L1406">
        <v>180</v>
      </c>
      <c r="M1406">
        <v>405</v>
      </c>
      <c r="N1406" s="2">
        <v>1.372648703609558E-2</v>
      </c>
    </row>
    <row r="1407" spans="1:14" hidden="1" x14ac:dyDescent="0.25">
      <c r="A1407" t="s">
        <v>17</v>
      </c>
      <c r="B1407" t="s">
        <v>143</v>
      </c>
      <c r="C1407">
        <v>5</v>
      </c>
      <c r="D1407">
        <v>5</v>
      </c>
      <c r="E1407">
        <v>4</v>
      </c>
      <c r="F1407">
        <v>7</v>
      </c>
      <c r="G1407">
        <v>5</v>
      </c>
      <c r="H1407">
        <v>3</v>
      </c>
      <c r="I1407">
        <v>5</v>
      </c>
      <c r="J1407">
        <v>6</v>
      </c>
      <c r="K1407">
        <v>6</v>
      </c>
      <c r="L1407">
        <v>6</v>
      </c>
      <c r="M1407">
        <v>26</v>
      </c>
      <c r="N1407" s="2">
        <v>8.8120657515675311E-4</v>
      </c>
    </row>
    <row r="1408" spans="1:14" hidden="1" x14ac:dyDescent="0.25">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x14ac:dyDescent="0.25">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x14ac:dyDescent="0.25">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x14ac:dyDescent="0.25">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x14ac:dyDescent="0.25">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x14ac:dyDescent="0.25">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x14ac:dyDescent="0.25">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x14ac:dyDescent="0.25">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x14ac:dyDescent="0.25">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x14ac:dyDescent="0.25">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x14ac:dyDescent="0.25">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x14ac:dyDescent="0.25">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x14ac:dyDescent="0.25">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x14ac:dyDescent="0.25">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x14ac:dyDescent="0.25">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x14ac:dyDescent="0.25">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x14ac:dyDescent="0.25">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x14ac:dyDescent="0.25">
      <c r="A1425" t="s">
        <v>14</v>
      </c>
      <c r="B1425" t="s">
        <v>100</v>
      </c>
      <c r="G1425">
        <v>0</v>
      </c>
      <c r="H1425">
        <v>0</v>
      </c>
      <c r="I1425">
        <v>0</v>
      </c>
      <c r="J1425">
        <v>0</v>
      </c>
      <c r="K1425">
        <v>272295</v>
      </c>
      <c r="L1425">
        <v>300000</v>
      </c>
      <c r="M1425">
        <v>572295</v>
      </c>
      <c r="N1425" s="2">
        <v>3.4168057983874123E-4</v>
      </c>
    </row>
    <row r="1426" spans="1:14" hidden="1" x14ac:dyDescent="0.25">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x14ac:dyDescent="0.25">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x14ac:dyDescent="0.25">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x14ac:dyDescent="0.25">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x14ac:dyDescent="0.25">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x14ac:dyDescent="0.25">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x14ac:dyDescent="0.25">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x14ac:dyDescent="0.25">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x14ac:dyDescent="0.25">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x14ac:dyDescent="0.25">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x14ac:dyDescent="0.25">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x14ac:dyDescent="0.25">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x14ac:dyDescent="0.25">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x14ac:dyDescent="0.25">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x14ac:dyDescent="0.25">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x14ac:dyDescent="0.25">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x14ac:dyDescent="0.25">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x14ac:dyDescent="0.25">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x14ac:dyDescent="0.25">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x14ac:dyDescent="0.25">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x14ac:dyDescent="0.25">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x14ac:dyDescent="0.25">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x14ac:dyDescent="0.25">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x14ac:dyDescent="0.25">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x14ac:dyDescent="0.25">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x14ac:dyDescent="0.25">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x14ac:dyDescent="0.25">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x14ac:dyDescent="0.25">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x14ac:dyDescent="0.25">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x14ac:dyDescent="0.25">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x14ac:dyDescent="0.25">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x14ac:dyDescent="0.25">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x14ac:dyDescent="0.25">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x14ac:dyDescent="0.25">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x14ac:dyDescent="0.25">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x14ac:dyDescent="0.25">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x14ac:dyDescent="0.25">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x14ac:dyDescent="0.25">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x14ac:dyDescent="0.25">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x14ac:dyDescent="0.25">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x14ac:dyDescent="0.25">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x14ac:dyDescent="0.25">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x14ac:dyDescent="0.25">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x14ac:dyDescent="0.25">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x14ac:dyDescent="0.25">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x14ac:dyDescent="0.25">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x14ac:dyDescent="0.25">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x14ac:dyDescent="0.25">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x14ac:dyDescent="0.25">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x14ac:dyDescent="0.25">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x14ac:dyDescent="0.25">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x14ac:dyDescent="0.25">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x14ac:dyDescent="0.25">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x14ac:dyDescent="0.25">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x14ac:dyDescent="0.25">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x14ac:dyDescent="0.25">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x14ac:dyDescent="0.25">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x14ac:dyDescent="0.25">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x14ac:dyDescent="0.25">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x14ac:dyDescent="0.25">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x14ac:dyDescent="0.25">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x14ac:dyDescent="0.25">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x14ac:dyDescent="0.25">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x14ac:dyDescent="0.25">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x14ac:dyDescent="0.25">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x14ac:dyDescent="0.25">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x14ac:dyDescent="0.25">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x14ac:dyDescent="0.25">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x14ac:dyDescent="0.25">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x14ac:dyDescent="0.25">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x14ac:dyDescent="0.25">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x14ac:dyDescent="0.25">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x14ac:dyDescent="0.25">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x14ac:dyDescent="0.25">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x14ac:dyDescent="0.25">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x14ac:dyDescent="0.25">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x14ac:dyDescent="0.25">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x14ac:dyDescent="0.25">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x14ac:dyDescent="0.25">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x14ac:dyDescent="0.25">
      <c r="A1505" t="s">
        <v>15</v>
      </c>
      <c r="B1505" t="s">
        <v>123</v>
      </c>
      <c r="F1505">
        <v>0</v>
      </c>
      <c r="G1505">
        <v>0</v>
      </c>
      <c r="H1505">
        <v>0</v>
      </c>
      <c r="I1505">
        <v>0</v>
      </c>
      <c r="J1505">
        <v>1100000</v>
      </c>
      <c r="K1505">
        <v>1920000</v>
      </c>
      <c r="L1505">
        <v>2300000</v>
      </c>
      <c r="M1505">
        <v>5320000</v>
      </c>
      <c r="N1505" s="2">
        <v>7.9930212030407694E-3</v>
      </c>
    </row>
    <row r="1506" spans="1:14" hidden="1" x14ac:dyDescent="0.25">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x14ac:dyDescent="0.25">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election activeCell="K12" sqref="K12"/>
    </sheetView>
  </sheetViews>
  <sheetFormatPr defaultRowHeight="15" x14ac:dyDescent="0.25"/>
  <cols>
    <col min="1" max="1" width="12" bestFit="1" customWidth="1"/>
    <col min="2" max="2" width="8.7109375" bestFit="1" customWidth="1"/>
    <col min="3" max="3" width="15.42578125" bestFit="1" customWidth="1"/>
    <col min="4" max="4" width="81" bestFit="1" customWidth="1"/>
  </cols>
  <sheetData>
    <row r="1" spans="1:10" x14ac:dyDescent="0.25">
      <c r="A1" s="16">
        <v>1.8275869705935501E-10</v>
      </c>
      <c r="B1" s="15" t="s">
        <v>325</v>
      </c>
      <c r="C1" s="15" t="s">
        <v>324</v>
      </c>
      <c r="D1" s="15" t="s">
        <v>322</v>
      </c>
      <c r="E1" s="15" t="s">
        <v>288</v>
      </c>
    </row>
    <row r="2" spans="1:10" x14ac:dyDescent="0.25">
      <c r="A2" s="16">
        <v>1.8275869705935501E-10</v>
      </c>
      <c r="B2" s="15" t="s">
        <v>325</v>
      </c>
      <c r="C2" s="15" t="s">
        <v>324</v>
      </c>
      <c r="D2" s="15" t="s">
        <v>323</v>
      </c>
      <c r="E2" s="15" t="s">
        <v>288</v>
      </c>
    </row>
    <row r="3" spans="1:10" x14ac:dyDescent="0.25">
      <c r="A3" s="13">
        <v>0.60496470841708605</v>
      </c>
      <c r="B3" s="13" t="s">
        <v>325</v>
      </c>
      <c r="C3" s="13" t="s">
        <v>324</v>
      </c>
      <c r="D3" s="13" t="s">
        <v>326</v>
      </c>
      <c r="E3" s="13" t="s">
        <v>242</v>
      </c>
    </row>
    <row r="4" spans="1:10" x14ac:dyDescent="0.25">
      <c r="A4" s="13">
        <v>0.170490173414167</v>
      </c>
      <c r="B4" s="13" t="s">
        <v>325</v>
      </c>
      <c r="C4" s="13" t="s">
        <v>324</v>
      </c>
      <c r="D4" s="13" t="s">
        <v>327</v>
      </c>
      <c r="E4" s="13" t="s">
        <v>242</v>
      </c>
    </row>
    <row r="5" spans="1:10" x14ac:dyDescent="0.25">
      <c r="A5" s="12">
        <v>1.1924090559000299E-2</v>
      </c>
      <c r="B5" s="12" t="s">
        <v>325</v>
      </c>
      <c r="C5" s="12" t="s">
        <v>324</v>
      </c>
      <c r="D5" s="12" t="s">
        <v>328</v>
      </c>
      <c r="E5" s="12" t="s">
        <v>242</v>
      </c>
      <c r="J5" s="9"/>
    </row>
    <row r="6" spans="1:10" x14ac:dyDescent="0.25">
      <c r="A6" s="12">
        <v>2.2004446715719402E-3</v>
      </c>
      <c r="B6" s="12" t="s">
        <v>325</v>
      </c>
      <c r="C6" s="12" t="s">
        <v>324</v>
      </c>
      <c r="D6" s="12" t="s">
        <v>329</v>
      </c>
      <c r="E6" s="12" t="s">
        <v>242</v>
      </c>
    </row>
    <row r="7" spans="1:10" x14ac:dyDescent="0.25">
      <c r="A7" s="13">
        <v>1.2332162617343799E-3</v>
      </c>
      <c r="B7" s="13" t="s">
        <v>325</v>
      </c>
      <c r="C7" s="13" t="s">
        <v>324</v>
      </c>
      <c r="D7" s="13" t="s">
        <v>289</v>
      </c>
      <c r="E7" s="13" t="s">
        <v>242</v>
      </c>
    </row>
    <row r="8" spans="1:10" x14ac:dyDescent="0.25">
      <c r="A8" s="11">
        <v>2.1321735175932098E-6</v>
      </c>
      <c r="B8" s="12" t="s">
        <v>325</v>
      </c>
      <c r="C8" s="12" t="s">
        <v>324</v>
      </c>
      <c r="D8" s="12" t="s">
        <v>330</v>
      </c>
      <c r="E8" s="12" t="s">
        <v>242</v>
      </c>
    </row>
    <row r="9" spans="1:10" x14ac:dyDescent="0.25">
      <c r="A9" s="11">
        <v>9.3283084957379301E-7</v>
      </c>
      <c r="B9" s="12" t="s">
        <v>325</v>
      </c>
      <c r="C9" s="12" t="s">
        <v>324</v>
      </c>
      <c r="D9" s="12" t="s">
        <v>331</v>
      </c>
      <c r="E9" s="12" t="s">
        <v>242</v>
      </c>
    </row>
    <row r="10" spans="1:10" x14ac:dyDescent="0.25">
      <c r="A10" s="12">
        <v>3.4048235915330502E-2</v>
      </c>
      <c r="B10" s="12" t="s">
        <v>325</v>
      </c>
      <c r="C10" s="12" t="s">
        <v>324</v>
      </c>
      <c r="D10" s="12" t="s">
        <v>332</v>
      </c>
      <c r="E10" s="12" t="s">
        <v>333</v>
      </c>
    </row>
    <row r="11" spans="1:10" x14ac:dyDescent="0.25">
      <c r="A11" s="12">
        <v>0.15032405184868</v>
      </c>
      <c r="B11" s="12" t="s">
        <v>325</v>
      </c>
      <c r="C11" s="12" t="s">
        <v>324</v>
      </c>
      <c r="D11" s="12" t="s">
        <v>332</v>
      </c>
      <c r="E11" s="12" t="s">
        <v>256</v>
      </c>
    </row>
    <row r="12" spans="1:10" x14ac:dyDescent="0.25">
      <c r="A12" s="12">
        <v>8.4042108856141899E-4</v>
      </c>
      <c r="B12" s="12" t="s">
        <v>325</v>
      </c>
      <c r="C12" s="12" t="s">
        <v>324</v>
      </c>
      <c r="D12" s="12" t="s">
        <v>334</v>
      </c>
      <c r="E12" s="12" t="s">
        <v>256</v>
      </c>
    </row>
    <row r="13" spans="1:10" x14ac:dyDescent="0.25">
      <c r="A13" s="13">
        <v>2.7482282118931699E-4</v>
      </c>
      <c r="B13" s="13" t="s">
        <v>325</v>
      </c>
      <c r="C13" s="13" t="s">
        <v>324</v>
      </c>
      <c r="D13" s="13" t="s">
        <v>280</v>
      </c>
      <c r="E13" s="13" t="s">
        <v>256</v>
      </c>
    </row>
    <row r="14" spans="1:10" x14ac:dyDescent="0.25">
      <c r="A14" s="14">
        <v>1.4454551494694501E-9</v>
      </c>
      <c r="B14" s="13" t="s">
        <v>325</v>
      </c>
      <c r="C14" s="13" t="s">
        <v>324</v>
      </c>
      <c r="D14" s="13" t="s">
        <v>323</v>
      </c>
      <c r="E14" s="13" t="s">
        <v>256</v>
      </c>
    </row>
    <row r="15" spans="1:10" x14ac:dyDescent="0.25">
      <c r="A15" s="14">
        <v>3.7105553648984102E-10</v>
      </c>
      <c r="B15" s="13" t="s">
        <v>325</v>
      </c>
      <c r="C15" s="13" t="s">
        <v>324</v>
      </c>
      <c r="D15" s="13" t="s">
        <v>322</v>
      </c>
      <c r="E15" s="13" t="s">
        <v>256</v>
      </c>
    </row>
    <row r="16" spans="1:10" x14ac:dyDescent="0.25">
      <c r="A16" s="15">
        <v>1.5703710265840901E-2</v>
      </c>
      <c r="B16" s="15" t="s">
        <v>325</v>
      </c>
      <c r="C16" s="15" t="s">
        <v>324</v>
      </c>
      <c r="D16" s="15" t="s">
        <v>335</v>
      </c>
      <c r="E16" s="15" t="s">
        <v>312</v>
      </c>
    </row>
    <row r="17" spans="1:6" x14ac:dyDescent="0.25">
      <c r="A17" s="15">
        <v>6.8111458857769E-3</v>
      </c>
      <c r="B17" s="15" t="s">
        <v>325</v>
      </c>
      <c r="C17" s="15" t="s">
        <v>324</v>
      </c>
      <c r="D17" s="15" t="s">
        <v>336</v>
      </c>
      <c r="E17" s="15" t="s">
        <v>313</v>
      </c>
    </row>
    <row r="18" spans="1:6" x14ac:dyDescent="0.25">
      <c r="A18" s="11">
        <v>2.2277037972546998E-6</v>
      </c>
      <c r="B18" s="12" t="s">
        <v>325</v>
      </c>
      <c r="C18" s="12" t="s">
        <v>324</v>
      </c>
      <c r="D18" s="12" t="s">
        <v>334</v>
      </c>
      <c r="E18" s="12" t="s">
        <v>313</v>
      </c>
    </row>
    <row r="19" spans="1:6" x14ac:dyDescent="0.25">
      <c r="A19" s="15">
        <v>1.1796839608684999E-3</v>
      </c>
      <c r="B19" s="15" t="s">
        <v>325</v>
      </c>
      <c r="C19" s="15" t="s">
        <v>324</v>
      </c>
      <c r="D19" s="15" t="s">
        <v>337</v>
      </c>
      <c r="E19" s="15" t="s">
        <v>320</v>
      </c>
    </row>
    <row r="24" spans="1:6" x14ac:dyDescent="0.25">
      <c r="A24" s="4">
        <f>SUM(A1:A4,A7,A13:A17,A19)</f>
        <v>0.80065746320869113</v>
      </c>
      <c r="B24" t="s">
        <v>338</v>
      </c>
    </row>
    <row r="25" spans="1:6" x14ac:dyDescent="0.25">
      <c r="A25">
        <v>0.80065746320869102</v>
      </c>
    </row>
    <row r="27" spans="1:6" x14ac:dyDescent="0.25">
      <c r="E27" t="s">
        <v>340</v>
      </c>
      <c r="F27" t="s">
        <v>339</v>
      </c>
    </row>
    <row r="28" spans="1:6" x14ac:dyDescent="0.25">
      <c r="D28" s="13" t="s">
        <v>326</v>
      </c>
      <c r="E28" s="13">
        <v>0.60496470841708605</v>
      </c>
      <c r="F28">
        <f>E28/SUM($E$28:$E$38)</f>
        <v>0.7555849239107163</v>
      </c>
    </row>
    <row r="29" spans="1:6" x14ac:dyDescent="0.25">
      <c r="D29" s="13" t="s">
        <v>327</v>
      </c>
      <c r="E29" s="13">
        <v>0.170490173414167</v>
      </c>
      <c r="F29">
        <f t="shared" ref="F29:F38" si="0">E29/SUM($E$28:$E$38)</f>
        <v>0.21293771837324246</v>
      </c>
    </row>
    <row r="30" spans="1:6" x14ac:dyDescent="0.25">
      <c r="D30" s="13" t="s">
        <v>289</v>
      </c>
      <c r="E30" s="13">
        <v>1.2332162617343799E-3</v>
      </c>
      <c r="F30">
        <f t="shared" si="0"/>
        <v>1.5402545013346643E-3</v>
      </c>
    </row>
    <row r="31" spans="1:6" x14ac:dyDescent="0.25">
      <c r="D31" s="13" t="s">
        <v>280</v>
      </c>
      <c r="E31" s="13">
        <v>2.7482282118931699E-4</v>
      </c>
      <c r="F31">
        <f t="shared" si="0"/>
        <v>3.4324643660716683E-4</v>
      </c>
    </row>
    <row r="32" spans="1:6" x14ac:dyDescent="0.25">
      <c r="D32" s="13" t="s">
        <v>323</v>
      </c>
      <c r="E32" s="14">
        <v>1.4454551494694501E-9</v>
      </c>
      <c r="F32">
        <f t="shared" si="0"/>
        <v>1.8053352599458535E-9</v>
      </c>
    </row>
    <row r="33" spans="3:6" x14ac:dyDescent="0.25">
      <c r="D33" s="13" t="s">
        <v>322</v>
      </c>
      <c r="E33" s="14">
        <v>3.7105553648984102E-10</v>
      </c>
      <c r="F33">
        <f t="shared" si="0"/>
        <v>4.6343855336439363E-10</v>
      </c>
    </row>
    <row r="34" spans="3:6" x14ac:dyDescent="0.25">
      <c r="D34" s="15" t="s">
        <v>322</v>
      </c>
      <c r="E34" s="16">
        <v>1.8275869705935501E-10</v>
      </c>
      <c r="F34">
        <f t="shared" si="0"/>
        <v>2.2826077999315297E-10</v>
      </c>
    </row>
    <row r="35" spans="3:6" x14ac:dyDescent="0.25">
      <c r="D35" s="15" t="s">
        <v>323</v>
      </c>
      <c r="E35" s="16">
        <v>1.8275869705935501E-10</v>
      </c>
      <c r="F35">
        <f t="shared" si="0"/>
        <v>2.2826077999315297E-10</v>
      </c>
    </row>
    <row r="36" spans="3:6" x14ac:dyDescent="0.25">
      <c r="D36" s="15" t="s">
        <v>335</v>
      </c>
      <c r="E36" s="15">
        <v>1.5703710265840901E-2</v>
      </c>
      <c r="F36">
        <f t="shared" si="0"/>
        <v>1.961351887348577E-2</v>
      </c>
    </row>
    <row r="37" spans="3:6" x14ac:dyDescent="0.25">
      <c r="D37" s="15" t="s">
        <v>336</v>
      </c>
      <c r="E37" s="15">
        <v>6.8111458857769E-3</v>
      </c>
      <c r="F37">
        <f t="shared" si="0"/>
        <v>8.5069411062263182E-3</v>
      </c>
    </row>
    <row r="38" spans="3:6" x14ac:dyDescent="0.25">
      <c r="D38" s="15" t="s">
        <v>337</v>
      </c>
      <c r="E38" s="15">
        <v>1.1796839608684999E-3</v>
      </c>
      <c r="F38">
        <f t="shared" si="0"/>
        <v>1.473394073091923E-3</v>
      </c>
    </row>
    <row r="41" spans="3:6" x14ac:dyDescent="0.25">
      <c r="C41" s="9"/>
      <c r="E41" s="17"/>
      <c r="F41">
        <f>SUM(F28:F38)</f>
        <v>0.99999999999999978</v>
      </c>
    </row>
    <row r="42" spans="3:6" x14ac:dyDescent="0.25">
      <c r="E42" s="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9"/>
  <sheetViews>
    <sheetView workbookViewId="0">
      <selection activeCell="D24" sqref="D24"/>
    </sheetView>
  </sheetViews>
  <sheetFormatPr defaultRowHeight="15" x14ac:dyDescent="0.25"/>
  <cols>
    <col min="1" max="1" width="12" bestFit="1" customWidth="1"/>
    <col min="2" max="2" width="8.7109375" bestFit="1" customWidth="1"/>
    <col min="3" max="3" width="12.42578125" bestFit="1" customWidth="1"/>
    <col min="4" max="4" width="49.140625" bestFit="1" customWidth="1"/>
  </cols>
  <sheetData>
    <row r="1" spans="1:4" x14ac:dyDescent="0.25">
      <c r="A1">
        <v>7.1429507115424E-3</v>
      </c>
      <c r="B1" t="s">
        <v>325</v>
      </c>
      <c r="C1" t="s">
        <v>345</v>
      </c>
      <c r="D1" t="s">
        <v>306</v>
      </c>
    </row>
    <row r="2" spans="1:4" x14ac:dyDescent="0.25">
      <c r="A2">
        <v>0.149921214972668</v>
      </c>
      <c r="B2" t="s">
        <v>325</v>
      </c>
      <c r="C2" t="s">
        <v>345</v>
      </c>
      <c r="D2" t="s">
        <v>306</v>
      </c>
    </row>
    <row r="3" spans="1:4" x14ac:dyDescent="0.25">
      <c r="A3">
        <v>0.384930999735831</v>
      </c>
      <c r="B3" t="s">
        <v>325</v>
      </c>
      <c r="C3" t="s">
        <v>345</v>
      </c>
      <c r="D3" t="s">
        <v>306</v>
      </c>
    </row>
    <row r="4" spans="1:4" x14ac:dyDescent="0.25">
      <c r="A4">
        <v>8.5540222163517903E-3</v>
      </c>
      <c r="B4" t="s">
        <v>325</v>
      </c>
      <c r="C4" t="s">
        <v>345</v>
      </c>
      <c r="D4" t="s">
        <v>306</v>
      </c>
    </row>
    <row r="5" spans="1:4" x14ac:dyDescent="0.25">
      <c r="A5">
        <v>0.13515355101835799</v>
      </c>
      <c r="B5" t="s">
        <v>325</v>
      </c>
      <c r="C5" t="s">
        <v>345</v>
      </c>
      <c r="D5" t="s">
        <v>306</v>
      </c>
    </row>
    <row r="6" spans="1:4" x14ac:dyDescent="0.25">
      <c r="A6">
        <v>0.17881386723022799</v>
      </c>
      <c r="B6" t="s">
        <v>325</v>
      </c>
      <c r="C6" t="s">
        <v>345</v>
      </c>
      <c r="D6" t="s">
        <v>316</v>
      </c>
    </row>
    <row r="7" spans="1:4" x14ac:dyDescent="0.25">
      <c r="A7">
        <v>0.135483394115021</v>
      </c>
      <c r="B7" t="s">
        <v>325</v>
      </c>
      <c r="C7" t="s">
        <v>345</v>
      </c>
      <c r="D7" t="s">
        <v>306</v>
      </c>
    </row>
    <row r="8" spans="1:4" x14ac:dyDescent="0.25">
      <c r="A8">
        <f>SUM(A1:A7)</f>
        <v>1.0000000000000002</v>
      </c>
    </row>
    <row r="11" spans="1:4" x14ac:dyDescent="0.25">
      <c r="A11">
        <f>A6</f>
        <v>0.17881386723022799</v>
      </c>
      <c r="B11" t="s">
        <v>316</v>
      </c>
    </row>
    <row r="12" spans="1:4" x14ac:dyDescent="0.25">
      <c r="A12">
        <f>SUM(A1:A5)+A7</f>
        <v>0.82118613276977226</v>
      </c>
      <c r="B12" t="s">
        <v>306</v>
      </c>
    </row>
    <row r="18" spans="1:1" x14ac:dyDescent="0.25">
      <c r="A18">
        <v>0.17881386723022799</v>
      </c>
    </row>
    <row r="19" spans="1:1" x14ac:dyDescent="0.25">
      <c r="A19">
        <v>0.82118613276977204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3"/>
  <sheetViews>
    <sheetView workbookViewId="0">
      <selection activeCell="C23" sqref="C23"/>
    </sheetView>
  </sheetViews>
  <sheetFormatPr defaultRowHeight="15" x14ac:dyDescent="0.25"/>
  <cols>
    <col min="1" max="1" width="12.85546875" bestFit="1" customWidth="1"/>
    <col min="2" max="2" width="14.28515625" bestFit="1" customWidth="1"/>
    <col min="3" max="3" width="21" bestFit="1" customWidth="1"/>
    <col min="4" max="4" width="12" bestFit="1" customWidth="1"/>
  </cols>
  <sheetData>
    <row r="1" spans="1:5" x14ac:dyDescent="0.25">
      <c r="A1" s="18" t="s">
        <v>311</v>
      </c>
    </row>
    <row r="2" spans="1:5" x14ac:dyDescent="0.25">
      <c r="B2" t="s">
        <v>371</v>
      </c>
      <c r="C2" t="s">
        <v>374</v>
      </c>
    </row>
    <row r="3" spans="1:5" x14ac:dyDescent="0.25">
      <c r="A3" t="s">
        <v>372</v>
      </c>
      <c r="B3">
        <v>0.84019999999999995</v>
      </c>
      <c r="C3">
        <v>0.29632999999999998</v>
      </c>
      <c r="D3">
        <f>B3*C3</f>
        <v>0.24897646599999998</v>
      </c>
      <c r="E3" s="7">
        <f>D3/SUM($D$3:$D$5)</f>
        <v>0.97808958425763304</v>
      </c>
    </row>
    <row r="4" spans="1:5" x14ac:dyDescent="0.25">
      <c r="A4" t="s">
        <v>373</v>
      </c>
      <c r="B4">
        <v>5.8415999999999997</v>
      </c>
      <c r="C4">
        <v>8.4088000000000001E-4</v>
      </c>
      <c r="D4">
        <f>B4*C4</f>
        <v>4.9120846079999999E-3</v>
      </c>
      <c r="E4" s="7">
        <f>D4/SUM($D$3:$D$5)</f>
        <v>1.9296839051756155E-2</v>
      </c>
    </row>
    <row r="5" spans="1:5" x14ac:dyDescent="0.25">
      <c r="A5" t="s">
        <v>66</v>
      </c>
      <c r="B5">
        <v>1600</v>
      </c>
      <c r="C5" s="9">
        <v>4.1581000000000002E-7</v>
      </c>
      <c r="D5">
        <f>B5*C5</f>
        <v>6.6529600000000001E-4</v>
      </c>
      <c r="E5" s="7">
        <f>D5/SUM($D$3:$D$5)</f>
        <v>2.6135766906108561E-3</v>
      </c>
    </row>
    <row r="7" spans="1:5" x14ac:dyDescent="0.25">
      <c r="A7" s="18" t="s">
        <v>311</v>
      </c>
    </row>
    <row r="8" spans="1:5" x14ac:dyDescent="0.25">
      <c r="B8" t="s">
        <v>371</v>
      </c>
      <c r="C8" t="s">
        <v>374</v>
      </c>
    </row>
    <row r="9" spans="1:5" x14ac:dyDescent="0.25">
      <c r="A9" t="s">
        <v>372</v>
      </c>
      <c r="B9">
        <v>0.84019999999999995</v>
      </c>
      <c r="C9">
        <v>0.29632999999999998</v>
      </c>
      <c r="D9">
        <f>B9*C9</f>
        <v>0.24897646599999998</v>
      </c>
      <c r="E9" s="7">
        <f>D9/SUM($D$9:$D$11)</f>
        <v>0.89167592766689696</v>
      </c>
    </row>
    <row r="10" spans="1:5" x14ac:dyDescent="0.25">
      <c r="A10" t="s">
        <v>373</v>
      </c>
      <c r="B10">
        <v>5.8415999999999997</v>
      </c>
      <c r="C10">
        <v>5.1526999999999996E-3</v>
      </c>
      <c r="D10">
        <f>B10*C10</f>
        <v>3.0100012319999998E-2</v>
      </c>
      <c r="E10" s="7">
        <f>D10/SUM($D$9:$D$11)</f>
        <v>0.10779917009594403</v>
      </c>
    </row>
    <row r="11" spans="1:5" x14ac:dyDescent="0.25">
      <c r="A11" t="s">
        <v>66</v>
      </c>
      <c r="B11">
        <v>1600</v>
      </c>
      <c r="C11" s="9">
        <v>9.1603000000000003E-8</v>
      </c>
      <c r="D11">
        <f>B11*C11</f>
        <v>1.4656480000000002E-4</v>
      </c>
      <c r="E11" s="7">
        <f>D11/SUM($D$9:$D$11)</f>
        <v>5.2490223715888568E-4</v>
      </c>
    </row>
    <row r="13" spans="1:5" x14ac:dyDescent="0.25">
      <c r="A13" s="18" t="s">
        <v>276</v>
      </c>
    </row>
    <row r="14" spans="1:5" x14ac:dyDescent="0.25">
      <c r="B14" t="s">
        <v>371</v>
      </c>
      <c r="C14" t="s">
        <v>374</v>
      </c>
    </row>
    <row r="15" spans="1:5" x14ac:dyDescent="0.25">
      <c r="A15" t="s">
        <v>372</v>
      </c>
      <c r="B15">
        <v>0.84019999999999995</v>
      </c>
      <c r="C15">
        <v>0.29632999999999998</v>
      </c>
      <c r="D15">
        <f>B15*C15</f>
        <v>0.24897646599999998</v>
      </c>
      <c r="E15" s="7">
        <f>D15/SUM($D$15:$D$17)</f>
        <v>0.91471461433732637</v>
      </c>
    </row>
    <row r="16" spans="1:5" x14ac:dyDescent="0.25">
      <c r="A16" t="s">
        <v>373</v>
      </c>
      <c r="B16">
        <v>5.8415999999999997</v>
      </c>
      <c r="C16">
        <v>3.8003999999999998E-3</v>
      </c>
      <c r="D16">
        <f>B16*C16</f>
        <v>2.2200416639999998E-2</v>
      </c>
      <c r="E16" s="7">
        <f>D16/SUM($D$15:$D$17)</f>
        <v>8.1562108544771306E-2</v>
      </c>
    </row>
    <row r="17" spans="1:5" x14ac:dyDescent="0.25">
      <c r="A17" t="s">
        <v>66</v>
      </c>
      <c r="B17">
        <v>1600</v>
      </c>
      <c r="C17" s="9">
        <v>6.3340000000000005E-7</v>
      </c>
      <c r="D17">
        <f>B17*C17</f>
        <v>1.01344E-3</v>
      </c>
      <c r="E17" s="7">
        <f>D17/SUM($D$15:$D$17)</f>
        <v>3.7232771179024613E-3</v>
      </c>
    </row>
    <row r="19" spans="1:5" x14ac:dyDescent="0.25">
      <c r="A19" s="18" t="s">
        <v>242</v>
      </c>
    </row>
    <row r="20" spans="1:5" x14ac:dyDescent="0.25">
      <c r="B20" t="s">
        <v>371</v>
      </c>
      <c r="C20" t="s">
        <v>374</v>
      </c>
    </row>
    <row r="21" spans="1:5" x14ac:dyDescent="0.25">
      <c r="A21" t="s">
        <v>372</v>
      </c>
      <c r="B21">
        <v>0.84019999999999995</v>
      </c>
      <c r="C21">
        <v>0.29632999999999998</v>
      </c>
      <c r="D21">
        <f>B21*C21</f>
        <v>0.24897646599999998</v>
      </c>
      <c r="E21" s="7">
        <f>D21/SUM($D$21:$D$23)</f>
        <v>0.9711045829123125</v>
      </c>
    </row>
    <row r="22" spans="1:5" x14ac:dyDescent="0.25">
      <c r="A22" t="s">
        <v>373</v>
      </c>
      <c r="B22">
        <v>5.8415999999999997</v>
      </c>
      <c r="C22">
        <v>1.2113E-3</v>
      </c>
      <c r="D22">
        <f>B22*C22</f>
        <v>7.0759300799999999E-3</v>
      </c>
      <c r="E22" s="7">
        <f>D22/SUM($D$21:$D$23)</f>
        <v>2.7598866027181406E-2</v>
      </c>
    </row>
    <row r="23" spans="1:5" x14ac:dyDescent="0.25">
      <c r="A23" t="s">
        <v>66</v>
      </c>
      <c r="B23">
        <v>1600</v>
      </c>
      <c r="C23" s="9">
        <v>2.0776E-7</v>
      </c>
      <c r="D23">
        <f>B23*C23</f>
        <v>3.3241599999999998E-4</v>
      </c>
      <c r="E23" s="7">
        <f>D23/SUM($D$21:$D$23)</f>
        <v>1.2965510605061736E-3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Shares_mapping</vt:lpstr>
      <vt:lpstr>Checking</vt:lpstr>
      <vt:lpstr>Summary</vt:lpstr>
      <vt:lpstr>Graphite</vt:lpstr>
      <vt:lpstr>Cobalt</vt:lpstr>
      <vt:lpstr>BGS</vt:lpstr>
      <vt:lpstr>Copper</vt:lpstr>
      <vt:lpstr>Molybdenum</vt:lpstr>
      <vt:lpstr>Rhenium</vt:lpstr>
      <vt:lpstr>Pig iron</vt:lpstr>
      <vt:lpstr>Iron, ore</vt:lpstr>
      <vt:lpstr>REE Refining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Hahn Menacho Alvaro Jose</cp:lastModifiedBy>
  <dcterms:created xsi:type="dcterms:W3CDTF">2023-06-27T08:05:02Z</dcterms:created>
  <dcterms:modified xsi:type="dcterms:W3CDTF">2024-03-27T12:36:42Z</dcterms:modified>
</cp:coreProperties>
</file>